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20" yWindow="3936" windowWidth="1941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6'!$17:$17</definedName>
    <definedName name="_xlnm.Print_Area" localSheetId="0">'додаток 6'!$A$1:$AA$810</definedName>
  </definedNames>
  <calcPr fullCalcOnLoad="1"/>
</workbook>
</file>

<file path=xl/sharedStrings.xml><?xml version="1.0" encoding="utf-8"?>
<sst xmlns="http://schemas.openxmlformats.org/spreadsheetml/2006/main" count="1200" uniqueCount="922">
  <si>
    <t>грн.</t>
  </si>
  <si>
    <t>Код Функціональної класифікації видатків та кредитування бюджету</t>
  </si>
  <si>
    <t>0600000</t>
  </si>
  <si>
    <t>0610000</t>
  </si>
  <si>
    <t>Внески в статутний капітал КНП "Другий Черкаський міський центр первинної медико-санітарної допомоги", в т.ч.:</t>
  </si>
  <si>
    <t>0700000</t>
  </si>
  <si>
    <t>0710000</t>
  </si>
  <si>
    <t>Департамент охорони здоров'я та медичних послуг</t>
  </si>
  <si>
    <t>Департамент освіти та гуманітарної політики</t>
  </si>
  <si>
    <t>0200000</t>
  </si>
  <si>
    <t>0210000</t>
  </si>
  <si>
    <t>Департамент управління справами та юридичного забезпечення ЧМР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</si>
  <si>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</si>
  <si>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</si>
  <si>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об’єкта будівництва / вид будівельних робіт, у тому числі проектні роботи</t>
  </si>
  <si>
    <t>Загальна вартість будівництва, гривень</t>
  </si>
  <si>
    <t>Загальна тривалість будівництва (рік початку і завершення)</t>
  </si>
  <si>
    <t>УСЬОГО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</si>
  <si>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</si>
  <si>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</si>
  <si>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</si>
  <si>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Розподіл коштів бюджету розвитку за об'єктами у 2020 році</t>
  </si>
  <si>
    <t>3700000</t>
  </si>
  <si>
    <t>Департамент фінансової політики</t>
  </si>
  <si>
    <t>3710000</t>
  </si>
  <si>
    <t>9800</t>
  </si>
  <si>
    <t>0180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</si>
  <si>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</si>
  <si>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3710160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</si>
  <si>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</si>
  <si>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</si>
  <si>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</si>
  <si>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0210160</t>
  </si>
  <si>
    <t>0611010</t>
  </si>
  <si>
    <t>0910</t>
  </si>
  <si>
    <t>Надання дошкільної освіти</t>
  </si>
  <si>
    <t>0611020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</si>
  <si>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</si>
  <si>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</si>
  <si>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</si>
  <si>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</si>
  <si>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0611100</t>
  </si>
  <si>
    <t>0611110</t>
  </si>
  <si>
    <t>0930</t>
  </si>
  <si>
    <t>Підготовка кадрів професійно-технічними закладами та іншими закладами освіти</t>
  </si>
  <si>
    <t>0611161</t>
  </si>
  <si>
    <t>0990</t>
  </si>
  <si>
    <t>Забезпечення діяльності інших закладів у сфері освіти</t>
  </si>
  <si>
    <t>0611170</t>
  </si>
  <si>
    <t>Забезпечення діяльності інклюзивно-ресурсних центрів</t>
  </si>
  <si>
    <t>0613241</t>
  </si>
  <si>
    <t>1090</t>
  </si>
  <si>
    <t>Забезпечення діяльності інших закладів у сфері соціального захисту і соціального забезпечення</t>
  </si>
  <si>
    <t>0614030</t>
  </si>
  <si>
    <t>4030</t>
  </si>
  <si>
    <t>0824</t>
  </si>
  <si>
    <t>Забезпечення діяльності бібліотек</t>
  </si>
  <si>
    <t>0614082</t>
  </si>
  <si>
    <t>4082</t>
  </si>
  <si>
    <t>0829</t>
  </si>
  <si>
    <t>Інші заходи в галузі культури і мистецтва</t>
  </si>
  <si>
    <t>0615031</t>
  </si>
  <si>
    <t>0810</t>
  </si>
  <si>
    <t>Утримання та навчально-тренувальна робота комунальних дитячо-юнацьких спортивних шкіл</t>
  </si>
  <si>
    <t>0617321</t>
  </si>
  <si>
    <t>7321</t>
  </si>
  <si>
    <t>0443</t>
  </si>
  <si>
    <t>Будівництво освітніх установ та закладів</t>
  </si>
  <si>
    <t>0617324</t>
  </si>
  <si>
    <t>7324</t>
  </si>
  <si>
    <t>Будівництво установ та закладів культури</t>
  </si>
  <si>
    <t>0617325</t>
  </si>
  <si>
    <t>7325</t>
  </si>
  <si>
    <t>Будівництво споруд, установ та закладів фізичної культури і спорту</t>
  </si>
  <si>
    <t>0617363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</si>
  <si>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</si>
  <si>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</si>
  <si>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</si>
  <si>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0617670</t>
  </si>
  <si>
    <t>7670</t>
  </si>
  <si>
    <t>Внески до статутного капіталу суб`єктів господарювання</t>
  </si>
  <si>
    <t>Внески в статутний капітал  КП "Спортивний комплекс "Будівельник"", в т.ч.:</t>
  </si>
  <si>
    <t>0717670</t>
  </si>
  <si>
    <t>Внески до статутного капіталу суб’єктів господарювання</t>
  </si>
  <si>
    <t>Внески в статутний капітал КНП "Перший Черкаський міський центр первинної медико-санітарної допомоги", в т.ч.:</t>
  </si>
  <si>
    <t>Внески в статутний капітал КНП "Четвертий Черкаський міський центр первинної медико-санітарної допомоги", в т.ч.:</t>
  </si>
  <si>
    <t>Внески в статутний капітал  КНП "Черкаська міська РОП "Астра", в т.ч.:</t>
  </si>
  <si>
    <t>Внески в статутний капітал КНП "Перша Черкаська міська лікарня", в т.ч.:</t>
  </si>
  <si>
    <t>Внески в статутний капітал КНП "Третя Черкаська міська лікарня швидкої медичної допомоги", в т.ч.:</t>
  </si>
  <si>
    <t>0800000</t>
  </si>
  <si>
    <t>Департамент соціальної політики ЧМР</t>
  </si>
  <si>
    <t>0810000</t>
  </si>
  <si>
    <t>0810160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</si>
  <si>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</si>
  <si>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</si>
  <si>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</si>
  <si>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</si>
  <si>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1200000</t>
  </si>
  <si>
    <t>Департамент житлово-комунального комплексу</t>
  </si>
  <si>
    <t>1210000</t>
  </si>
  <si>
    <t>1210160</t>
  </si>
  <si>
    <t>1216011</t>
  </si>
  <si>
    <t>0620</t>
  </si>
  <si>
    <t>Експлуатація та технічне обслуговування житлового фонду</t>
  </si>
  <si>
    <t>Забезпечення надійної та безперебійної експлуатації ліфтів</t>
  </si>
  <si>
    <t>Організація благоустрою населених пунктів</t>
  </si>
  <si>
    <t>0640</t>
  </si>
  <si>
    <t>Інша діяльність у сфері житлово-комунального господарства</t>
  </si>
  <si>
    <t>1217310</t>
  </si>
  <si>
    <t>7310</t>
  </si>
  <si>
    <t>Будівництво об`єктів житлово-комунального господарства</t>
  </si>
  <si>
    <t>1217426</t>
  </si>
  <si>
    <t>7426</t>
  </si>
  <si>
    <t>0453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</si>
  <si>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</si>
  <si>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</si>
  <si>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</si>
  <si>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</si>
  <si>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1217670</t>
  </si>
  <si>
    <t>Внески в статутний капітал КПТМ "Черкаситеплокомуненерго", в т.ч.:</t>
  </si>
  <si>
    <t>Внески в статутний капітал КП "Черкасиводоканал", в т.ч.:</t>
  </si>
  <si>
    <t>Внески в статутний капітал КП "Черкаська служба чистоти", у т.ч.:</t>
  </si>
  <si>
    <t>Внески в статутний капітал КП "Комбінат комунальних підприємств", в т.ч.:</t>
  </si>
  <si>
    <t>Внески в статутний капітал КП "Дирекція парків", в т.ч.:</t>
  </si>
  <si>
    <t>Внески в статутний капітал КП "ЧЕЛУАШ", в т.ч.:</t>
  </si>
  <si>
    <t xml:space="preserve"> Внески в статутний капітал  КП "Міськсвітло", в т.ч.:</t>
  </si>
  <si>
    <t>1218120</t>
  </si>
  <si>
    <t>Заходи з організації рятування на водах</t>
  </si>
  <si>
    <t>1219800</t>
  </si>
  <si>
    <t>1600000</t>
  </si>
  <si>
    <t>Департамент архітектури та містобудування</t>
  </si>
  <si>
    <t>1610000</t>
  </si>
  <si>
    <t>1610160</t>
  </si>
  <si>
    <t>1611020</t>
  </si>
  <si>
    <t>1615031</t>
  </si>
  <si>
    <t>1616030</t>
  </si>
  <si>
    <t>1617310</t>
  </si>
  <si>
    <t>1617321</t>
  </si>
  <si>
    <t>1617324</t>
  </si>
  <si>
    <t>1617325</t>
  </si>
  <si>
    <t>1617350</t>
  </si>
  <si>
    <t>7350</t>
  </si>
  <si>
    <t>6430</t>
  </si>
  <si>
    <t>Розроблення схем планування та забудови територій (містобудівної документації)</t>
  </si>
  <si>
    <t>1617370</t>
  </si>
  <si>
    <t>7370</t>
  </si>
  <si>
    <t>Реалізація інших заходів щодо соціально-економічного розвитку територій</t>
  </si>
  <si>
    <t>1617461</t>
  </si>
  <si>
    <t>1617650</t>
  </si>
  <si>
    <t>7650</t>
  </si>
  <si>
    <t>Проведення експертної грошової оцінки земельної ділянки чи права на неї</t>
  </si>
  <si>
    <t>1618312</t>
  </si>
  <si>
    <t>8312</t>
  </si>
  <si>
    <t>0512</t>
  </si>
  <si>
    <t>Утилізація відходів</t>
  </si>
  <si>
    <t>1700000</t>
  </si>
  <si>
    <t>Управління державного архітектурно-будівельного контролю ЧМР</t>
  </si>
  <si>
    <t>1710000</t>
  </si>
  <si>
    <t>1710160</t>
  </si>
  <si>
    <t>2300000</t>
  </si>
  <si>
    <t>Управління інформаційної політики ЧМР</t>
  </si>
  <si>
    <t>2310000</t>
  </si>
  <si>
    <t>2310160</t>
  </si>
  <si>
    <t>01111</t>
  </si>
  <si>
    <t>2700000</t>
  </si>
  <si>
    <t>Департамент економіки та розвитку</t>
  </si>
  <si>
    <t>2710000</t>
  </si>
  <si>
    <t>2717370</t>
  </si>
  <si>
    <t>2717670</t>
  </si>
  <si>
    <t>Внески в статутний капітал КП "Черкаські ринки", в т.ч.:</t>
  </si>
  <si>
    <t>3300000</t>
  </si>
  <si>
    <t>Управління з питань державної реєстрації ЧМР</t>
  </si>
  <si>
    <t>3310000</t>
  </si>
  <si>
    <t>3310160</t>
  </si>
  <si>
    <t>1400000</t>
  </si>
  <si>
    <t>1410000</t>
  </si>
  <si>
    <t>1410160</t>
  </si>
  <si>
    <t>Управління інспектування</t>
  </si>
  <si>
    <t>0813121</t>
  </si>
  <si>
    <t>3121</t>
  </si>
  <si>
    <t>1040</t>
  </si>
  <si>
    <t>Утримання та забезпечення діяльності центрів соціальних служб для сім’ї, дітей та молоді</t>
  </si>
  <si>
    <t>0813105</t>
  </si>
  <si>
    <t>3105</t>
  </si>
  <si>
    <t>1010</t>
  </si>
  <si>
    <t>Надання реабілітаційних послуг особам з інвалідністю та дітям з інвалідністю</t>
  </si>
  <si>
    <t>0900000</t>
  </si>
  <si>
    <t>0910000</t>
  </si>
  <si>
    <t>0910160</t>
  </si>
  <si>
    <t>Служба у справах дітей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</si>
  <si>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</si>
  <si>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</si>
  <si>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</si>
  <si>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Придбання обладнання для реєстрації транспортних засобів (програмно-апаратний комплекс)</t>
  </si>
  <si>
    <t>Капітальний ремонт приміщення комітету самоорганізації населення мікрорайону "Соборний" за адресою вул. Митницька 17/1 кв. 40</t>
  </si>
  <si>
    <t>2020-2021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</si>
  <si>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</si>
  <si>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2018-2020</t>
  </si>
  <si>
    <t xml:space="preserve">Придбання кондиціонерів для територіального центру надання соціальних послуг м. Черкаси </t>
  </si>
  <si>
    <t>Капітальний ремонт приміщень  корпусу A′-ІІ адміністративної будівлі територіального центру надання соціальних послуг м. Черкаси, за адресою: вул. Гвардійська, 7/5</t>
  </si>
  <si>
    <t>Капітальний ремонт приміщення територіального центру надання соціальних послуг м. Черкаси за адресою: вул. Гвардійська, 7/5</t>
  </si>
  <si>
    <t>2019-2020</t>
  </si>
  <si>
    <t>Капітальний ремонт (облаштування пандусами та перилами) будівлі Територіального центру надання соціальних послуг м. Черкаси, за адресою: вул. Гвардійська, 7/5 та вул. Пушкіна, 13А</t>
  </si>
  <si>
    <t>Капітальний ремонт адміністративної будівлі територіального центру надання соціальних послуг м. Черкаси (ремонт системи опалення, водопостачання і водовідведення) за адресою: вул. Пушкіна, 13 А</t>
  </si>
  <si>
    <t>Капітальний ремонт приміщення майнового комплексу за адресою вул. Благовісна, 170 (корпус И-4, монтаж системи вентиляції)</t>
  </si>
  <si>
    <t>Капітальний ремонт приміщення майнового комплексу за адресою вул.Благовісна, 170 (корпус Д-4, 4 поверх, спортивний зал)</t>
  </si>
  <si>
    <t>Реконструкція будівлі по вул. Кобзарській, 1 (для розміщення кризового центру для жінок - жертв насильства) в м. Черкаси</t>
  </si>
  <si>
    <t>2019-2021</t>
  </si>
  <si>
    <t>Придбання та встановлення обладнання для облаштування ринку (огорожа) по вул.Благовісна, між вул. Небесної Сотні та Смілянською</t>
  </si>
  <si>
    <t>Придбання обладнання для облаштування муніципальних ярмарків (торгівельних павільйонів, прилавків) по вул. Сумгаїтська поблизу будинку 69</t>
  </si>
  <si>
    <t xml:space="preserve">Придбання  та встановлення обладнання для облаштування території (огорожа) по вул. Смілянська, 33 </t>
  </si>
  <si>
    <t>Капітальний ремонт території ярмарок та прилеглої території (укладання тротуарною плиткою) вул.Добровольського та бул. Шевченка  (частина площі 700-річчя)</t>
  </si>
  <si>
    <t>Капітальний ремонт території ринку (укладання тротуарною плиткою) по вул.Благовісна, між вул. Небесної Сотні та Смілянською</t>
  </si>
  <si>
    <t>Капітальний ремонт території ринку (укладання тротуарною плиткою)  по вул. Смілянська, 33</t>
  </si>
  <si>
    <t xml:space="preserve">Виготовлення, розроблення документації із землеустрою щодо відведення земельних ділянок для КП "Черкаські ринки" </t>
  </si>
  <si>
    <t>Придбання нематеріальних активів (web-сайт ДФП)</t>
  </si>
  <si>
    <t>Придбання обладнання і предметів довгострокового користування (комп'ютерна техніка, оргтехніка, кондиціонери)</t>
  </si>
  <si>
    <t>Придбання обладнання і предметів довгострокового користування (комп'ютерна техніка, оргтехніка, стелажне обладнання, обладнання для центру обслуговування громадян)</t>
  </si>
  <si>
    <t>0817330</t>
  </si>
  <si>
    <t>7330</t>
  </si>
  <si>
    <t>Будівництво інших об'єктів комунальної власності</t>
  </si>
  <si>
    <t>2317330</t>
  </si>
  <si>
    <t>0817323</t>
  </si>
  <si>
    <t>7323</t>
  </si>
  <si>
    <t>Будівництво установ та закладів соціальної сфери</t>
  </si>
  <si>
    <t>Капітальний ремонт будівлі КНП "Перша Черкаська міська лікарня" (неврологічне  відділення ) по вул. Дахнівська, 32 в м. Черкаси</t>
  </si>
  <si>
    <t xml:space="preserve">Капітальний ремонт території КНП «Друга Черкаська міська лікарня відновного лікування» </t>
  </si>
  <si>
    <t>Капітальний ремонт будівлі  КНП "Черкаська міська інфекційна лікарня"</t>
  </si>
  <si>
    <t>Капітальний ремонт будівель КНП "Черкаська міська інфекційна лікарня" (утеплення фасаду)</t>
  </si>
  <si>
    <t>Капітальний ремонт будівлі КНП "Черкаська міська РОП "Астра" (зовнішнє утеплення стін)</t>
  </si>
  <si>
    <t>Капітальний ремонт будівлі КНП "Перший Черкаський міський центр первинної медико-санітарної допомоги"</t>
  </si>
  <si>
    <t xml:space="preserve">Капітальний ремонт будівлі КНП "Другий Черкаський міський центр первинної медико-санітарної допомоги" за адресою м.Черкаси, вул. Кобзарська, 40 </t>
  </si>
  <si>
    <t>Капітальний ремонт будівлі КНП "Четвертий Черкаський міський центр первинної медико-санітарної допомоги"</t>
  </si>
  <si>
    <t xml:space="preserve">Капітальний ремонт (встановлення вузла обліку теплової енергії і ІТП системи опалення та вузла обліку гарячого водопостачання)  КНП "Черкаська міська дитяча стоматологічна поліклініка" за адресою вул. В’ячеслава Чорновола, 120 в м. Черкаси  </t>
  </si>
  <si>
    <t>Внески в статутний капітал  КНП "Черкаська міська дитяча стоматологічна поліклініка",  в т.ч.:</t>
  </si>
  <si>
    <t>Внески в статутний капітал КНП "Друга Черкаська міська лікарня відновного лікування", в т.ч.:</t>
  </si>
  <si>
    <t>Внески в статутний капітал КНП "Черкаська міська інфекційна лікарня" ЧМР, в т.ч.:</t>
  </si>
  <si>
    <t>Придбання мобільної рентгенівської системи з С-дугою для КНП "Третя Черкаська міська лікарня швидкої медичної допомоги"</t>
  </si>
  <si>
    <t>Капітальний ремонт будівлі КНП "Третя Черкаська міська лікарня швидкої медичної допомоги" (операційний блок)</t>
  </si>
  <si>
    <t>Капітальний ремонт прибудинкової території житлових будинків 17 та 17/1 по вул.Митницькій</t>
  </si>
  <si>
    <t xml:space="preserve">Придбання та встановлення обладнання для дитячого майданчика у дворі будників 23, 27 по вул. Вернигори в м. Черкаси </t>
  </si>
  <si>
    <t xml:space="preserve">Придбання та встановлення обладнання для дитячого майданчика у дворі будників 25, 29, 31 по вул. Вернигори та будинку №1 по вул. Десантників </t>
  </si>
  <si>
    <t>Придбання та встановлення елементів для майданчика для вигулу та дресирування собак по вул. Г.Дніпра біля будинку 73</t>
  </si>
  <si>
    <t xml:space="preserve">Будівництво мереж зовнішнього освітлення прибудинкової території житлового будинку №122/41 по вул. В. Чорновола </t>
  </si>
  <si>
    <t>Будівництво мереж зовнішнього освітлення пішохідної алеї від вул. Кобзарська до вул. Берегова</t>
  </si>
  <si>
    <t xml:space="preserve">Будівництво мереж зовнішнього освітлення прибудинкової території житлового будинку №120 по вул. В. Чорновола </t>
  </si>
  <si>
    <t xml:space="preserve">Будівництво мережі зовнішнього освітлення прибудинкової території житлових будинків №120/1, №120/2 по вул. В’ячеслава Чорновола в м.Черкаси </t>
  </si>
  <si>
    <t xml:space="preserve">Будівництво мережі зовнішнього освітлення прибудинкової території житлових будинків №33, №35 по вул. Анатолія Лупиноса в м.Черкаси </t>
  </si>
  <si>
    <t xml:space="preserve">Будівництво мережі зовнішнього освітлення прибудинкової території житлових будинків №149, №149/1, №149/2, №151, №153, №153/2, №155, №157 по вул. Самійла Кішки в м. Черкаси </t>
  </si>
  <si>
    <t xml:space="preserve">Будівництво мережі зовнішнього освітлення прибудинкової території житлового будинку №114/42 по вул. В’ячеслава Чорновола в м.Черкаси </t>
  </si>
  <si>
    <t xml:space="preserve">Будівництво мережі зовнішнього освітлення прибудинкової території житлового будинку № 299 по вул. Благовісна в  м. Черкаси </t>
  </si>
  <si>
    <t xml:space="preserve">Будівництво мережі зовнішнього освітлення прибудинкової території житлового будинку № 315 по вул. Гоголя в м. Черкаси </t>
  </si>
  <si>
    <t xml:space="preserve">Будівництво мережі зовнішнього освітлення прибудинкової території житлових будинків № 391 по вул. Надпільна в  м. Черкаси </t>
  </si>
  <si>
    <t xml:space="preserve">Будівництво мережі зовнішнього освітлення пішохідної алеї по вул. Хрещатик від вул. Університетська до вул. Крилова в  м. Черкаси </t>
  </si>
  <si>
    <t xml:space="preserve">Будівництво мережі зовнішнього освітлення пішохідного тротуару по вул. Смілянська від вул. Володимира Ложешнікова до вул. Хоменка (парна сторона) в м. Черкаси </t>
  </si>
  <si>
    <t>Реконструкція контейнерного майданчика для збору ТПВ за адресою вул. Хрещатик 130</t>
  </si>
  <si>
    <t>Капітальний ремонт тенісного корту по вул. Олексія Панченка № 7</t>
  </si>
  <si>
    <t>Будівництво мереж зовнішнього освітлення вулиць в мкрн. "Поляна" (Яблунева, Г. Буркацької, Івана Кулика, Миколи Лисенка, Городецького, Єфремова, Вишнева)</t>
  </si>
  <si>
    <t>Будівництво мережі зовнішнього освітлення на прибудинковій території житлових будинків № 12, 12/1, 12/2 по вул. Юрія Іллєнка</t>
  </si>
  <si>
    <t>Будівництво мережі зовнішнього освітлення прибудинкової території житлових будинків  № 46, 48, 50 по вул. Толстого</t>
  </si>
  <si>
    <t>Будівництво мережі зовнішнього освітлення прибудинкової території житлових будинків  № 7, 9, 11 по вул. Юрія Іллєнка</t>
  </si>
  <si>
    <t xml:space="preserve">Будівництво мережі зовнішнього освітлення прибудинкової території житлового будинку  №85 по  вул. В.Чорновола в м. Черкаси </t>
  </si>
  <si>
    <t>Будівництво мережі зовнішнього освітлення прибудинкової території житлових будинків   №158/1; №158/2; №160; №160/1; №160/2; №160/4 по вул. Нарбутівська в м. Черкаси</t>
  </si>
  <si>
    <t>Будівництво мережі зовнішнього освітлення прибудинкової території житлового будинку  №4  по вул. Різдвяна в м. Черкаси</t>
  </si>
  <si>
    <t>Будівництво мережі зовнішнього освітлення прибудинкової території житлового будинку №101  по вул. Волкова в м. Черкаси</t>
  </si>
  <si>
    <t>Будівництво мережі зовнішнього освітлення прибудинкової території житлового будинку  №22 по вул. Толстого в м. Черкаси</t>
  </si>
  <si>
    <t>Будівництво контейнерного майданчику для збору ТПВ за адресою вул. Надпільна 361</t>
  </si>
  <si>
    <t>Будівництво контейнерного майданчику для збору ТПВ за адресою вул. Чорновола241/1</t>
  </si>
  <si>
    <t>Будівництво контейнерного майданчику для збору ТПВ за адресою вул. Пастерівська 1</t>
  </si>
  <si>
    <t>Будівництво контейнерного майданчику для збору ТПВ за адресою вул. Тараскова 3</t>
  </si>
  <si>
    <t>Будівництво контейнерного майданчику для збору ТПВ за адресою вул. Руставі 11</t>
  </si>
  <si>
    <t>Будівництво контейнерного майданчику для збору ТПВ за адресою вул. Ярославська 8/1</t>
  </si>
  <si>
    <t>Будівництво контейнерного майданчику для збору ТПВ за адресою вул. Героїв Майдану 12</t>
  </si>
  <si>
    <t>Будівництво контейнерного майданчику для збору ТПВ за адресою вул. Руставі 15</t>
  </si>
  <si>
    <t>Будівництво контейнерного майданчику для збору ТПВ за адресою вул. Руставі 21</t>
  </si>
  <si>
    <t>Будівництво контейнерного майданчику для збору ТПВ за адресою вул. Героїв Майдану 8</t>
  </si>
  <si>
    <t>Будівництво контейнерного майданчику для збору ТПВ за адресою вул. Сумгаїтська 20</t>
  </si>
  <si>
    <t>Будівництво контейнерного майданчику для збору ТПВ за адресою вул.Нечуя Левицького 18</t>
  </si>
  <si>
    <t>Будівництво контейнерного майданчику для збору ТПВ за адресою вул. Грушевського 152/1</t>
  </si>
  <si>
    <t>Будівництво контейнерного майданчику для збору ТПВ за адресою вул. Пастерівська 44</t>
  </si>
  <si>
    <t>Реконструкція контейнерного майданчика для збору ТПВ за адресою вул.Кобзарська 42</t>
  </si>
  <si>
    <t>Будівництво контейнерного майданчика для збору ТПВ за адресою вул. Амброса 94</t>
  </si>
  <si>
    <t xml:space="preserve">Будівництво мереж зовнішнього освітлення по вул. Геронимівська </t>
  </si>
  <si>
    <t xml:space="preserve">Будівництво контейнерного майданчику для збору ТПВ по вул. Гетьмана Сагайдачного, 257 </t>
  </si>
  <si>
    <t>Будівництво контейнерного майданчика для збору ТПВ вул. Симиренківська 27</t>
  </si>
  <si>
    <t>Будівництво контейнерного майданчика для збору ТПВ вул.Гетьмана Сагайдачного 231</t>
  </si>
  <si>
    <t>Будівництво контейнерного майданчика ТПВ вул. Благовісна 332</t>
  </si>
  <si>
    <t>Реконструкція південно-західної частини полігону твердих побутових відходів в районі с. Руська Поляна</t>
  </si>
  <si>
    <t xml:space="preserve">Будівництво міського кладовища в районі вул. Промислової та станції Заводської (ІІ черга) </t>
  </si>
  <si>
    <t>Капітальний ремонт вул. Надпільна (тротуар, непарна сторона, від вул. Пастерівська до вул. Кривалівська)</t>
  </si>
  <si>
    <t>Капітальний ремонт пров. Поштовий в м.Черкаси</t>
  </si>
  <si>
    <t>Капітальний ремонт вул. Весела в м.Черкаси</t>
  </si>
  <si>
    <t>Капітальний ремонт пішохідної алеї по вул. Хрещатик (непарна сторона, від вул. Університетська до вул. Крилова).</t>
  </si>
  <si>
    <t>Капітальний ремонт вул. Університетська (парна сторона, від вул. Надпільна до вул. І. Гонти)</t>
  </si>
  <si>
    <t xml:space="preserve">Капітальний ремонт вул. Смілянської (тротуар, парна сторона, від вул. Вернигори до вул. Хоменка) в м. Черкаси </t>
  </si>
  <si>
    <t>Капітальний ремонт вул. Іллєнка (тротуар, парна сторона, непарна сторона, від вул. Амброса до вул. Толстого)</t>
  </si>
  <si>
    <t>Капітальний ремонт провулку Слобідський</t>
  </si>
  <si>
    <t>Капітальний ремонт вул. Смілянська (тротуар, парна сторона від залізничного мосту до вул. Вернигори)</t>
  </si>
  <si>
    <t>Капітальний ремонт вул. Вернигори (тротуар, непарна сторона від вул. Смілянська до житлового будинку № 21 по вул. Вернигори)</t>
  </si>
  <si>
    <t>Капітальний ремонт пішохідної алеї від ж/б Генерала Момота 3 до вул. Смаглія (між "Черкаським професійним автодорожнім ліцеєм" та ВПУ ім. Г.Ф. Короленка)</t>
  </si>
  <si>
    <t>Капітальний ремонт вул. Онопрієнка (тротуар, непарна сторона, від вул. Смаглія до ж/б № 1 по вул.Генерала Момота)</t>
  </si>
  <si>
    <t>Капітальний ремонт вул. Смаглія (тротуар, парна сторона, від вул. Онопрієнка до вул. О. Панченка)</t>
  </si>
  <si>
    <t>Капітальний ремонт пішохідної доріжки по периметру дитячого спортивного комплексу прибудинкової території ж/б № 1, 3, 5, 7 по вул. Генерала Момота</t>
  </si>
  <si>
    <t>Капітальний ремонт пішохідної алеї від ж/б № 2 по вул.С.Смірнова до вул.Гагаріна вздовж ж/б № 49 по вул.Г.Дніпра в м. Черкаси</t>
  </si>
  <si>
    <t>Капітальний  ремонт пішохідної алеї від вул.Героїв Дніпра вздовж житлового будинку №69 до ДНЗ №34</t>
  </si>
  <si>
    <t>Капітальний ремонт міжквартального проїзду від вул. Чехова до вул. Юрія Іллєнка, 11</t>
  </si>
  <si>
    <t>Капітальний ремонт вул. Новопричистенська (тротуар, парна сторона, від вул.Гоголя до вул.Благовісна)</t>
  </si>
  <si>
    <t>Капітальний ремонт пішохідної алеї від ж/б 243 до ж/б № 239 по вул. Г. Сагайдачного в м. Черкаси</t>
  </si>
  <si>
    <t>Капітальний ремонт пішохідної алеї від ж/б № 231 до ж/б № 237 по вул. Г. Сагайдачного в м. Черкаси</t>
  </si>
  <si>
    <t>Капітальний ремонт пішохідної алеї від вул. Г. Сагайдачного до ж/б № 168 м. Черкаси</t>
  </si>
  <si>
    <t>Капітальний ремонт міжквартального проїзду від ж/б № 184 до ж/б № 180 по вул.Благовісна</t>
  </si>
  <si>
    <t xml:space="preserve">Реконструкція вул. С. Кішки (тротуар, парна сторона, від вул. Бидгощська до вул. Чайковського) </t>
  </si>
  <si>
    <t>Реконструкція вул. Бидгощська (тротуар, парна сторона, від вул. С. Кішки до вул. Пастерівська)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</si>
  <si>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</si>
  <si>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</si>
  <si>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провулку Рибальський </t>
  </si>
  <si>
    <t>Капітальний ремонт вул. Хрещатик (тротуар, паркувальний майданчик, непарна сторона) від вул. Франка до вул. Пушкіна</t>
  </si>
  <si>
    <t>Реконструкція узвозу Пастерівський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</si>
  <si>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</si>
  <si>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Амброса (тротуар, парна сторона від вул. Новопричистенська до вул. Іллєнка)</t>
  </si>
  <si>
    <t>Капітальний ремонт вул. Пахарів Хутір (тротуар, непарна сторона, від вул. М. Старицького до санаторію "Пролісок")</t>
  </si>
  <si>
    <t>Капітальний ремонт об'єктів вулично-дорожньої мережі (встановлення технічних засобів регулювання дорожнього руху (системи відеоспостереження та центру керування дорожньою інфраструктурою))</t>
  </si>
  <si>
    <t>Капітальний ремонт  вул.Гоголя (тротуар, парна сторона від вул.Митницької до вул.Небесної Сотні)</t>
  </si>
  <si>
    <t>Капітальний ремонт вул. Пацаєва (тротуару від житлового будинку 14 до будинку 24 по вул. Пацаєва)</t>
  </si>
  <si>
    <t>Капітальний ремонт пішохідної алеї від вул.Гетьмана Сагайдачного 237 до вул. Подолинського 24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</si>
  <si>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</si>
  <si>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</si>
  <si>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вул. Пацаєва (встановлення світлофору біля ЗОШ № 14) в м. Черкаси</t>
  </si>
  <si>
    <t>Капітальний ремонт вул. Першотравнева в м. Черкаси</t>
  </si>
  <si>
    <t>2018-2022</t>
  </si>
  <si>
    <t>Реконструкція вул. Новопричистенська (тротуар, парна сторона, від вул. Нарбутівської до вул. Г. Сагайдачного)</t>
  </si>
  <si>
    <t>Реконструкція вул. Гагаріна (від парку  Сосновий Бір  до узвозу Франка) в м. Черкаси</t>
  </si>
  <si>
    <t>Капітальний ремонт міжквартального проїзду від буд. № 1 по вул. Десантників до житлового будинку № 23 по вул. Вернигори</t>
  </si>
  <si>
    <t>Реконструкція вул. Смаглія</t>
  </si>
  <si>
    <t>Капітальний ремонт вул. Крилова (тротуар, парна сторона від вул. Надпільна до вул. І.Гонти)</t>
  </si>
  <si>
    <t>Капітальний ремонт вул. Університетська (тротуар, непарна сторона, від вул. Надпільна до вул. І. Гонти)</t>
  </si>
  <si>
    <t>Капітальний ремонт вул. Максима Кривоноса (від вул. Героїв Чорнобиля до вул. Крилова)</t>
  </si>
  <si>
    <t>Придбання техніки</t>
  </si>
  <si>
    <t>Будівництво мережі освітлення в парку-памʼятці садово-паркового мистецтва "Парк ім. Б. Хмельницького" по вул. Б.Вишневецього в м.Черкаси</t>
  </si>
  <si>
    <t>Капітальний ремонт  парку-памʼятки садово-паркового мистецтва "Парк ім. Б. Хмельницького" (ремонт доріжок) по вул. Б.Вишневецького в м.Черкаси</t>
  </si>
  <si>
    <t>Реконструкція Дитячого парку (реконструкція басейну з фонтаном) по вул.Хрещатик 168 в м.Черкаси</t>
  </si>
  <si>
    <t xml:space="preserve">Реконструкція парку-пам’ятки садово-паркового мистецтва "Парк ім. Б. Хмельницького" (реконструкція туалету) </t>
  </si>
  <si>
    <t>Капітальний ремонт парку "Казка" в м.Черкаси, вул.Припортова, 23/1</t>
  </si>
  <si>
    <t xml:space="preserve">Будівництво системи поливу в парку-пам’ятці садово-паркового мистецтва місцевого значення  "Парк "Перемоги" по вул.Смілянська, 132/1 в м.Черкаси </t>
  </si>
  <si>
    <t xml:space="preserve">Будівництво пляжу "Соснівський" (зовнішні мережі водопостачання, водовідведення з облаштуванням літніх душових, зовнішні мережі електропостачання) по вул. Гагаріна в м. Черкаси </t>
  </si>
  <si>
    <t xml:space="preserve">Придбання та встановлення системи відеоспостереження в парку-пам’ятці садово-паркового мистецтва загальнодержавного значення  "Парк ім. 50-річчя Радянської влади" </t>
  </si>
  <si>
    <t xml:space="preserve">Будівництво дитячого майданчика на пляжі "Митницький" в м.Черкаси </t>
  </si>
  <si>
    <t>Придбання системи фільтрації пляж "Казбетський"</t>
  </si>
  <si>
    <t xml:space="preserve">Придбання та встановлення дитячого та спортивного майданчика в сквері "Дружба" </t>
  </si>
  <si>
    <t>Реконструкція парку-пам'ятки садово-паркового мистецтва  "Юність" між вулицями Остафія Дашковича та Байди Вишневецького по бульв.Шевченка</t>
  </si>
  <si>
    <t>Придбання обладнання для занять кросфітом</t>
  </si>
  <si>
    <t>Придбання косарки-подрібнювача для трактора</t>
  </si>
  <si>
    <t xml:space="preserve">Придбання майданчика для вигулу та дресирування собак в парку-пам’ятці садово-паркового мистецтва  "Парк ім. 50-річчя Радянської влади" </t>
  </si>
  <si>
    <t xml:space="preserve">Придбання атракціону "Колесо огляду" </t>
  </si>
  <si>
    <t>Реконструкція освітлення в Дитячому парку</t>
  </si>
  <si>
    <t>Реконструкція адміністративної будівлі в Дитячому парку по вул. Хрещатик, 168 в м. Черкаси без зміни зовнішніх геометричних розмірів фундаментів (коригування)</t>
  </si>
  <si>
    <t>Реконструкція парку-пам’ятки садово-паркового мистецтва загальнодержавного значення "Парк ім. 50-річчя Радянської влади" (реконструкція освітлення)</t>
  </si>
  <si>
    <t>Реконструкція парку пам’ятки садово-паркового мистецтва місцевого значення "Парк "Перемоги" (реконструкція пам’ятного знаку "Літак")</t>
  </si>
  <si>
    <t>Реконструкція скверу "Митницький" по вул. Б.Хмельницького в м.Черкаси</t>
  </si>
  <si>
    <t>Реконструкція парку пам'ятки садово-паркового мистецтва загальнодержавного значення  "Парк ім. 50-річчя Радянської влади" (реконструкція мосту)</t>
  </si>
  <si>
    <t>Реконструкція парку пам'ятки садово-паркового мистецтва місцевого значення "Парк Хіміків" (реконструкція доріжок)</t>
  </si>
  <si>
    <t>Реконструкція скверу "Пам'ять" (в частині електропостачання)</t>
  </si>
  <si>
    <t>Будівництво громадської вбиральні з облаштуванням кімнати матері та дитини по вул. Гагаріна в м. Черкаси</t>
  </si>
  <si>
    <t>Будівництво пляжу "Соснівський" (зовнішні мережі водопостачання, водовідведення з облаштуванням літніх душових, зовнішні мережі електропостачання) по вул. Гагаріна в м. Черкаси</t>
  </si>
  <si>
    <t>Капітальний ремонт зупинок громадського транспорту</t>
  </si>
  <si>
    <t>Реконструкція адміністративної будівлі по вул. Бидгощській, 13 м. Черкаси</t>
  </si>
  <si>
    <t xml:space="preserve">Придбання комунальної техніки </t>
  </si>
  <si>
    <t>Реконструкція мережі зовнішнього освітлення  пров. Слобідський в м. Черкаси</t>
  </si>
  <si>
    <t>Реконструкція мережі зовнішнього освітлення вул. Анатолія Лупиноса від вул. Пастерівська до вул. В’ячеслава Чорновола в м. Черкаси</t>
  </si>
  <si>
    <t>Реконструкція мережі зовнішнього освітлення вул. Бидгощська від вул. Пастерівська до вул. В’ячеслава Чорновола в м. Черкаси</t>
  </si>
  <si>
    <t>Реконструкція мережі зовнішнього освітлення провулку Коцюбинського від вул. Самійла Кішки до вул. Пастерівська в м. Черкаси</t>
  </si>
  <si>
    <t xml:space="preserve">Реконструкція мережі зовнішнього освітлення провулку Михайла Сироти від вул. Самійла Кішки до вул. Пастерівська в м. Черкаси </t>
  </si>
  <si>
    <t xml:space="preserve">Реконструкція мережі зовнішнього освітлення вул. Гетьмана Сагайдачного від вул. В’ячеслава Чорновола до вул. Гуржіївська в м. Черкаси </t>
  </si>
  <si>
    <t xml:space="preserve">Реконструкція мережі зовнішнього освітлення вул. Митницька від бульвара  Шевченка до вул. Надпільна в м. Черкаси </t>
  </si>
  <si>
    <t xml:space="preserve">Реконструкція мережі зовнішнього освітлення  вул. Генерала Путейка в м. Черкаси </t>
  </si>
  <si>
    <t xml:space="preserve">Реконструкція мереж зовнішнього освітлення прибудинкової території житлових будинків по  вул. Хоменка 18, 20, 22, 24 в м. Черкаси </t>
  </si>
  <si>
    <t xml:space="preserve">Реконструкція мереж зовнішнього освітлення прибудинкової території житлових будинків по  вул. Хоменка 18/1, 18/2, 24/1 в м. Черкаси </t>
  </si>
  <si>
    <t xml:space="preserve">Реконструкція мережі зовнішнього освітлення вул. Танкістів в м. Черкаси </t>
  </si>
  <si>
    <t xml:space="preserve">Реконструкція мережі зовнішнього освітлення провулок Яцька Остряниці в м. Черкаси </t>
  </si>
  <si>
    <t xml:space="preserve">Реконструкція мережі зовнішнього освітлення провулку Дмитра Гуні в м. Черкаси </t>
  </si>
  <si>
    <t xml:space="preserve">Реконструкція мережі зовнішнього освітлення провулку Павла Бута в м. Черкаси </t>
  </si>
  <si>
    <t xml:space="preserve">Реконструкція мережі зовнішнього освітлення провулку Полковника Бурляя в м. Черкаси </t>
  </si>
  <si>
    <t>Реконструкція мережі зовнішнього освітлення вул. З0-річчя Перемоги (від вул. Сумгаїтська до вул. Руставі)</t>
  </si>
  <si>
    <t xml:space="preserve">Капітальний ремонт мереж зовнішнього освітлення з встановленням додаткового освітлення пішохідних переходів по вул. Менделєєва </t>
  </si>
  <si>
    <t xml:space="preserve">Капітальний ремонт мереж зовнішнього освітлення з встановленням додаткового освітлення пішохідних переходів по вул. Канівська </t>
  </si>
  <si>
    <t xml:space="preserve">Реконструкція мережі зовнішнього освітлення вул. Гагаріна від  Замкового узвозу до Черкаського міського парку «Сосновий Бір» в м. Черкаси </t>
  </si>
  <si>
    <t xml:space="preserve">Реконструкція мережі зовнішнього освітлення проспекту Хіміків від вул. Сурікова до вул. Симиренківська в  м. Черкаси </t>
  </si>
  <si>
    <t xml:space="preserve">Реконструкція мережі зовнішнього освітлення вул. Дахнівська від вул. Менделєєва  до бульвару Шевченка (парна сторона) в м. Черкаси </t>
  </si>
  <si>
    <t>Реконструкція мережі зовнішнього освітлення вул. Максима Кривоноса від  вул. Героїв Чорнобиля до вул. Гагаріна в м. Черкаси</t>
  </si>
  <si>
    <t>Реконструкція мережі зовнішнього освітлення вул. Чигиринська від вул. Добровольського до вул. Пацаєва в м. Черкаси</t>
  </si>
  <si>
    <t>Реконструкція мережі зовнішнього освітлення прибудинкової території житлових будинків по вул. Вернигори 23, 25, 27, 29</t>
  </si>
  <si>
    <t>Реконструкція  мережі зовнішнього освітлення вул. Нарбутівська від вул. Чехова до вул. Різдв'яна м. Черкаси</t>
  </si>
  <si>
    <t>Реконструкція мережі зовнішнього освітлення прибудинкової території житлового будинку №82 по  вул. Чехова  в м. Черкаси</t>
  </si>
  <si>
    <t>Капітальний ремонт мереж зовнішнього освітлення з встановленням додаткового освітлення пішохідних переходів по вул. Чехова в м. Черкаси</t>
  </si>
  <si>
    <t>Реконструкція мережі зовнішнього освітлення вул. Нечуя Левицького від Проспекту Хіміків до вул. Чайковського в м.Черкаси</t>
  </si>
  <si>
    <t>Реконструкція мережі зовнішнього освітлення прибудинкової території житлових будинків по вул Сумгаїтська 14, 16, 18, 20, 24  в м.Черкаси</t>
  </si>
  <si>
    <t>Реконструкція мережі зовнішнього освітлення прибудинкової території житлових будинку номер 50 по вул. 30 років Перемоги в м. Черкаси</t>
  </si>
  <si>
    <t>Реконструкція мережі зовнішнього освітлення прибудинкової території житлових будинків по вул Сумгаїтська 26, 28, 30, 32, 34, 36  в м.Черкаси</t>
  </si>
  <si>
    <t>Реконструкція мережі зовнішнього освітлення прибудинкової території житлових будинку номер 42 по вул Кобзарська   в м.Черкаси</t>
  </si>
  <si>
    <t>Реконструкція мережі зовнішнього освітлення вул. Сергія Амброса від вул. Іллєнка до вул. Кобзарська  в м.Черкаси</t>
  </si>
  <si>
    <t>Реконструкція мережі зовнішнього освітлення вул. Благовісна (від вул. В'ячеслава Чорновола до вул. Добровольського)</t>
  </si>
  <si>
    <t>Реконструкція мережі зовнішнього освітлення вул. Соснівська</t>
  </si>
  <si>
    <t>Реконструкція мережі зовнішнього освітлення вул. Симоненка</t>
  </si>
  <si>
    <t>Реконструкція мережі зовнішнього освітлення набережної річкового вокзалу</t>
  </si>
  <si>
    <t>Капітальний ремонт мереж зовнішнього освітлення з встановленням додаткового освітлення пішохідних переходів</t>
  </si>
  <si>
    <t>Реконструкція шаф управління зовнішнім освітленням міста в Соснівському районі із встановленням автоматизованої системи комерційного обліку електричної енергії споживача</t>
  </si>
  <si>
    <t>Реконструкція шаф управління зовнішнім освітленням міста в Придніпровському районі із встановленням автоматизованої системи комерційного обліку електричної енергії споживача</t>
  </si>
  <si>
    <t>Реконструкція мережі зовнішнього освітлення вул. Припортова</t>
  </si>
  <si>
    <t>Реконструкція мережі зовнішнього освітлення вул. Корольова</t>
  </si>
  <si>
    <t>Реконструкція мережі зовнішнього освітлення шляхопроводу проспект Хіміків</t>
  </si>
  <si>
    <t>Реконструкція мережі зовнішнього освітлення вул. Пушкіна</t>
  </si>
  <si>
    <t>Реконструкція мережі зовнішнього освітлення вул. Франка</t>
  </si>
  <si>
    <t>Реконструкція мережі зовнішнього освітлення прибудинкової території житлових будинків № 4, 6, 8 по вул. Припортова</t>
  </si>
  <si>
    <t>Реконструкція фонтану на площі 700-річчя міста</t>
  </si>
  <si>
    <t>Будівництво фонтану сухого типу на алеї Генерала Путейка в м. Черкаси</t>
  </si>
  <si>
    <t>Придбання лавок</t>
  </si>
  <si>
    <t>Придбання мультимедійної дошки для ДНЗ № 46</t>
  </si>
  <si>
    <t>Придбання ноутбуків для ДНЗ № 46</t>
  </si>
  <si>
    <t>Придбання пральної машини ДНЗ № 34 "Дніпряночка"</t>
  </si>
  <si>
    <t>Придбання обладнання для дитячих майданчиків ДНЗ № 10</t>
  </si>
  <si>
    <t>Придбання побутової техніки та обладнання для ДНЗ № 43</t>
  </si>
  <si>
    <t>Придбання побутової техніки та обладнання для ДНЗ № 74</t>
  </si>
  <si>
    <t>Придбання комплекту навчального обладнання для кабінету географії для СШ №20</t>
  </si>
  <si>
    <t xml:space="preserve">Придбання планшетів для СШ №20 </t>
  </si>
  <si>
    <t>Придбання   шкільних меблів (комплекти учнівських столів зі стільцями) ЗОШ №6</t>
  </si>
  <si>
    <t>Придбання   шкільних меблів (інтерактивні дошки) ЗОШ №6</t>
  </si>
  <si>
    <t>Придбання обладнання довгострокового користування (СЕНСОРНІ ПАНЕЛІ МУЛЬТИТАЧ) СШ №20</t>
  </si>
  <si>
    <t>Придбання комп'ютерної техніки для ЗОШ № 21</t>
  </si>
  <si>
    <t>Придбання обладнання для кабінету трудового навчання гімназія № 9</t>
  </si>
  <si>
    <t>Придбання звукового обладнання гімназія № 9</t>
  </si>
  <si>
    <t>Придбання лічильника тепла ЗОШ № 22</t>
  </si>
  <si>
    <t>Придбання книг для поповнення бібліотечного фонду Черкаської міської ЦБС</t>
  </si>
  <si>
    <t>4040</t>
  </si>
  <si>
    <t>0614040</t>
  </si>
  <si>
    <t>Придбання геородару для археологічного музею Середньої Наддніпрянщини ЧМР</t>
  </si>
  <si>
    <t xml:space="preserve"> 
Забезпечення діяльності музеїв i виставок</t>
  </si>
  <si>
    <t>Придбання штучної новорічної ялинки та новорічних інсталяцій</t>
  </si>
  <si>
    <t>Придбання спортивного інвентарю для КДЮСШ м. Черкаси згідно Програми розвитку єдиноборств у м. Черкаси на 2019-2023 роки</t>
  </si>
  <si>
    <t xml:space="preserve">Придбання спортивного інвентарю в зал вільної боротьби </t>
  </si>
  <si>
    <t>Придбання причіпу-конструкції для перевезення спортивних човнів для ДЮСШ з веслування ЧМР</t>
  </si>
  <si>
    <t>Придбання мобільної звукової системи для КДЮСШ "Вікторія" ЧМР (2 од.)</t>
  </si>
  <si>
    <t>Придбання принтеру для КДЮСШ ЧМР</t>
  </si>
  <si>
    <t>Придбання принтеру кольорового лазерного для КДЮСШ ЧМР</t>
  </si>
  <si>
    <t>Придбання тренажеру «Горизонтальна, вертикальна, верхня, нижня тяга блоку» для КДЮСШ "Вікторія" ЧМР</t>
  </si>
  <si>
    <t>Придбання штанги олімпійської для КДЮСШ "Вікторія" ЧМР</t>
  </si>
  <si>
    <t>Придбання комплекту татамі 10х10 товщиною 5 см для КДЮСШ "Вулкан"ЧМР</t>
  </si>
  <si>
    <t>Придбання мотору до човна «Меркурій» для ДЮСШ з веслування ЧМР</t>
  </si>
  <si>
    <t>Придбання велосипедів спортивних гоночних для КДЮСШ №2 ЧМР</t>
  </si>
  <si>
    <t>Придбання набору тренажерів для КДЮСШ №2 ЧМР(5од.)</t>
  </si>
  <si>
    <t>Придбання комплекту електронних мішеней для стрільби на 10 м та 50 м КДЮСШ № 2 ЧМР</t>
  </si>
  <si>
    <t>Придбання пістолету Walther LP400 для КДЮСШ № 2 ЧМР</t>
  </si>
  <si>
    <t>Придбання спортивного інвентарю</t>
  </si>
  <si>
    <t>Реконструкція прилеглої території (зовнішні мережі освітлення)  ДНЗ № 1 «Дюймовочка»</t>
  </si>
  <si>
    <t>Реконструкція будівлі (фасад) ДНЗ № 29</t>
  </si>
  <si>
    <t xml:space="preserve">Реконструкція будівлі (утеплення) дошкільного навчального закладу (ясла-садок) №50 "Світлофорчик" Черкаської міської ради по вул. Верхня Горова, 65 в м.Черкаси </t>
  </si>
  <si>
    <t xml:space="preserve">Реконструкція прилеглої території (огорожа) дошкільного навчального закладу (ясла-садок) № 2 "Сонечко" Черкаської міської ради по вул.Хрещатик, 261 в м. Черкаси </t>
  </si>
  <si>
    <t>Реконструкція будівлі ДНЗ № 78 (утеплення фасаду)</t>
  </si>
  <si>
    <t xml:space="preserve">Реконструкція прилеглої території ЗОШ № 15 </t>
  </si>
  <si>
    <t>Реконструкція будівлі (фасад) ДНЗ № 45</t>
  </si>
  <si>
    <t>Реконструкція будівлі (фасад) СШ № 18 (молодша)</t>
  </si>
  <si>
    <t>Реконструкція будівлі (харчоблок) СШ № 18</t>
  </si>
  <si>
    <t>Реконструкція будівлі (басейн) ДНЗ № 34</t>
  </si>
  <si>
    <t>Реконструкція будівлі (спортивна зала)  ЗОШ № 12</t>
  </si>
  <si>
    <t>Реконструкція будівлі (утеплення фасаду) СШ № 13</t>
  </si>
  <si>
    <t>Капітальний ремонт будівлі (харчоблок) ДНЗ №77</t>
  </si>
  <si>
    <t>Капітальний ремонт будівлі (санітарні вузли) ДНЗ №77</t>
  </si>
  <si>
    <t>Капітальний ремонт прилеглої території ДНЗ № 1 «Дюймовочка»</t>
  </si>
  <si>
    <t>Капітальний ремонт будівлі  (санітарні вузли) ДНЗ № 1 «Дюймовочка»</t>
  </si>
  <si>
    <t xml:space="preserve">Капітальний ремонт будівлі ДНЗ № 61 </t>
  </si>
  <si>
    <t>Капітальний ремонт будівлі ДНЗ № 63</t>
  </si>
  <si>
    <t>Капітальний ремонт будівлі ДНЗ № 35</t>
  </si>
  <si>
    <t>Капітальний ремонт будівлі ДНЗ № 46</t>
  </si>
  <si>
    <t>Капітальний ремонт будівлі ДНЗ № 45</t>
  </si>
  <si>
    <t xml:space="preserve">Капітальний ремонт прилеглої території (огорожа) дошкільного навчального закладу (ясла-садок) №50 "Світлофорчик" Черкаської міської ради по вул. Верхня Горова, 65 в м.Черкаси </t>
  </si>
  <si>
    <t>Капітальний ремонт будівлі (басейн) ДНЗ № 90</t>
  </si>
  <si>
    <t>Капітальний ремонт будівлі (пральня) ДНЗ № 91</t>
  </si>
  <si>
    <t xml:space="preserve">Капітальний ремонт будівлі (санітарні вузли) ДНЗ № 34 "Дніпряночка" </t>
  </si>
  <si>
    <t>Капітальний ремонт будівлі (харчоблоку) ДНЗ № 34 "Дніпряночка"</t>
  </si>
  <si>
    <t>Капітальний ремонт будівлі (вентиляційна система) ДНЗ № 91 "Кобзарик"</t>
  </si>
  <si>
    <t>Капітальний ремонт будівлі (утеплення фасаду) ДНЗ № 91 "Кобзарик"</t>
  </si>
  <si>
    <t xml:space="preserve">Капітальний ремонт будівлі (харчоблок) ДНЗ № 74 </t>
  </si>
  <si>
    <t xml:space="preserve">Капітальний ремонт будівлі (групові осередки) ДНЗ № 33 </t>
  </si>
  <si>
    <t xml:space="preserve">Капітальний ремонт прилеглої території ДНЗ № 41 </t>
  </si>
  <si>
    <t xml:space="preserve">Капітальний ремонт будівлі  (групові осередки) ДНЗ № 41 </t>
  </si>
  <si>
    <t>Капітальний ремонт будівлі   (харчоблок)  ДНЗ № 76</t>
  </si>
  <si>
    <t>Капітальний ремонт будівлі   (харчоблок) ДНЗ № 78</t>
  </si>
  <si>
    <t xml:space="preserve">Капітальний ремонт будівлі ДНЗ № 54 </t>
  </si>
  <si>
    <t>Капітальний ремонт будівлі ДНЗ № 29</t>
  </si>
  <si>
    <t>Капітальний ремонт будівлі   (система вентиляції) ДНЗ № 57</t>
  </si>
  <si>
    <t>Капітальний ремонт будівлі (заміна вікон) ДНЗ № 5</t>
  </si>
  <si>
    <t>Капітальний ремонт прилеглої території  ДНЗ № 5</t>
  </si>
  <si>
    <t>Капітальний ремонт будівлі (групові осередки) ДНЗ № 10</t>
  </si>
  <si>
    <t>Капітальний ремонт будівлі (харчоблок) ДНЗ № 10</t>
  </si>
  <si>
    <t>Капітальний ремонт прилеглої території (павільйони) ДНЗ № 61</t>
  </si>
  <si>
    <t>Капітальний ремонт будівлі (утеплення фасаду) ДНЗ № 77</t>
  </si>
  <si>
    <t>Капітальний ремонт будівлі (утеплення фасаду) ДНЗ №37 «Ракета»</t>
  </si>
  <si>
    <t xml:space="preserve">Капітальний ремонт прилеглої території (павільйони) ДНЗ №37 «Ракета» </t>
  </si>
  <si>
    <t xml:space="preserve">Капітальний ремонт будівлі (утеплення фасаду) ДНЗ № 74 </t>
  </si>
  <si>
    <t>Капітальний ремонт будівлі (групові осередки) ДНЗ № 29 «Ластівка»</t>
  </si>
  <si>
    <t>Капітальний ремонт будівлі   (санітарні вузли) ДНЗ № 33</t>
  </si>
  <si>
    <t>Капітальний ремонт будівлі ДНЗ № 34</t>
  </si>
  <si>
    <t>Капітальний ремонт будівлі (покрівля) ДНЗ № 34 ЧМР</t>
  </si>
  <si>
    <t>Капітальний ремонт будівлі (групові осередки)  ДНЗ № 41 «Дударик»</t>
  </si>
  <si>
    <t>Капітальний ремонт будівлі  (фасад) ДНЗ № 57</t>
  </si>
  <si>
    <t xml:space="preserve">Капітальний ремонт будівлі ДНЗ № 78 «Джерельце»  </t>
  </si>
  <si>
    <t xml:space="preserve">Капітальний ремонт прилеглої території ДНЗ № 91 </t>
  </si>
  <si>
    <t>Капітальний ремонт будівлі (групові осередки) ДНЗ № 91</t>
  </si>
  <si>
    <t xml:space="preserve">Капітальний ремонт будівлі ДНЗ № 30 </t>
  </si>
  <si>
    <t>Капітальний ремонт будівлі ДНЗ № 31</t>
  </si>
  <si>
    <t>Капітальний ремонт будівлі (зовнішні інженерні мережі) ДНЗ № 31</t>
  </si>
  <si>
    <t>Капітальний ремонт будівлі (покрівля) ДНЗ № 38</t>
  </si>
  <si>
    <t>Капітальний ремонт будівлі (покрівля) ДНЗ № 39</t>
  </si>
  <si>
    <t xml:space="preserve">Капітальний ремонт будівлі (внутрішні інженерні мережі) ДНЗ № 39 </t>
  </si>
  <si>
    <t>Капітальний ремонт будівлі  (утеплення фасаду) ДНЗ № 22</t>
  </si>
  <si>
    <t>Капітальний ремонт будівлі  (санітарні вузли) ДНЗ № 22</t>
  </si>
  <si>
    <t>Капітальний ремонт будівлі  ДНЗ №43 (санвузли)</t>
  </si>
  <si>
    <t>Капітальний ремонт прилеглої території (павільйони)  ДНЗ № 61</t>
  </si>
  <si>
    <t xml:space="preserve">Капітальний ремонт будівлі  (пральня) ДНЗ № 81 </t>
  </si>
  <si>
    <t>Капітальний ремонт будівлі (утеплення фасаду)  ДНЗ №2</t>
  </si>
  <si>
    <t xml:space="preserve">Капітальний ремонт прилеглої території (дитячі ігрові конструкції) дошкільного навчального закладу (ясла-садок) № 2 "Сонечко" Черкаської міської ради по вул.Хрещатик, 261 в м. Черкаси </t>
  </si>
  <si>
    <t>Капітальний ремонт будівлі ДНЗ № 50</t>
  </si>
  <si>
    <t>Капітальний ремонт прилеглої території (дитячі ігрові конструкції) дошкільного навчального закладу (ясла -садок) №50 "Світлофорчик" Черкаської міської ради по вул. Верхня Горова, 65 в м.Черкаси</t>
  </si>
  <si>
    <t>Капітальний ремонт будівлі (утеплення фасаду) ДНЗ №13</t>
  </si>
  <si>
    <t xml:space="preserve">Капітальний ремонт будівлі ЗОШ № 26 </t>
  </si>
  <si>
    <t xml:space="preserve">Капітальний ремонт прилеглої території гімназії  (улаштування тротуарної плитки) № 31 </t>
  </si>
  <si>
    <t xml:space="preserve">Капітальний ремонт будівлі (утеплення фасаду) Черкаського колегіуму "Берегиня" </t>
  </si>
  <si>
    <t>Капітальний ремонт будівлі (фасад) СШ № 17</t>
  </si>
  <si>
    <t>Капітальний ремонт будівлі (утеплення фасаду) НВК ЗОШ №34</t>
  </si>
  <si>
    <t>Капітальний ремонт будівлі  (утеплення фасаду) ЗОШ № 15</t>
  </si>
  <si>
    <t xml:space="preserve">Капітальний ремонт прилеглої території  (футбольне поле) ЗОШ № 19 </t>
  </si>
  <si>
    <t xml:space="preserve">Капітальний ремонт будівлі (утеплення фасаду) ПМГ </t>
  </si>
  <si>
    <t>Капітальний ремонт будівлі (спортивна зала) ЗОШ № 11</t>
  </si>
  <si>
    <t xml:space="preserve">Капітальний ремонт будівлі  (заміна вікон) ЗОШ № 12 </t>
  </si>
  <si>
    <t xml:space="preserve">Капітальний ремонт будівлі  (центральний та запасні входи) ЗОШ № 12 </t>
  </si>
  <si>
    <t xml:space="preserve">Капітальний ремонт прилеглої території (огорожа спортивного майданчику) ЗОШ № 12 </t>
  </si>
  <si>
    <t>Капітальний ремонт будівлі  (заміна вікон) ЗОШ № 5</t>
  </si>
  <si>
    <t>Капітальний ремонт будівлі ЗОШ №22 (утеплення фасаду)</t>
  </si>
  <si>
    <t xml:space="preserve">Капітальний ремонт прилеглої території ЗОШ № 19 </t>
  </si>
  <si>
    <t>Капітальний ремонт будівлі ЗОШ № 15</t>
  </si>
  <si>
    <t xml:space="preserve">Капітальний ремонт будівлі (утеплення фасаду) ЗОШ № 15  </t>
  </si>
  <si>
    <t>Капітальний ремонт будівлі (спортивна зала) ЗОШ № 6</t>
  </si>
  <si>
    <t>Капітальний ремонт будівлі  ЗОШ № 8</t>
  </si>
  <si>
    <t xml:space="preserve">Капітальний ремонт будівлі ЗОШ № 25 </t>
  </si>
  <si>
    <t xml:space="preserve">Капітальний ремонт (термомодернізація ІІІ блоку) Черкаської спеціалізованої школи І-ІІІ ст. № 27 ім.М.К.Путейка Черкаської міської ради по вул. Сумгаїтській, 22, м.Черкаси </t>
  </si>
  <si>
    <t>Капітальний ремонт будівлі (покрівля) СШ № 28</t>
  </si>
  <si>
    <t>Капітальний ремонт будівлі  (інженерні мережі каналізації, водопроводу) ЗОШ № 12</t>
  </si>
  <si>
    <t>Капітальний ремонт будівлі (санітарні вузли) Черкаської спеціалізованої школи І-ІІІ ступенів № 13</t>
  </si>
  <si>
    <t>Капітальний ремонт будівлі  (актова зала) гімназії № 31</t>
  </si>
  <si>
    <t>Капітальний ремонт будівлі (заміна вікон) Черкаського колегіуму "Берегиня" Черкаської міської ради по вул. Хоменка 14/1 в м. Черкаси</t>
  </si>
  <si>
    <t>Капітальний ремонт будівлі (центральний вхід) СШ № 17</t>
  </si>
  <si>
    <t>Капітальний ремонт будівлі (спортивний зал) НВК ЗОШ № 34</t>
  </si>
  <si>
    <t>Капітальний ремонт будівлі (утеплення фасаду) ДНЗ №9</t>
  </si>
  <si>
    <t>Капітальний ремонт будівлі (утеплення фасаду) ДНЗ № 87 «Дельфін»</t>
  </si>
  <si>
    <t>Реконструкція бігових доріжок гумовим покриттям спеціалізованої школи № 17</t>
  </si>
  <si>
    <t>Капітальний ремонт прилеглої території колегіуму "Берегиня" по вул. Хоменка, 14/1 в м. Черкаси</t>
  </si>
  <si>
    <t xml:space="preserve">Капітальний ремонт прилеглої  території (спортивний майданчик з штучним покриттям) ФІМЛІ ЧМР по вул.Благовісній, 280 в м.Черкаси </t>
  </si>
  <si>
    <t>Капітальний ремонт будівлі (санітарні вузли) колегіуму «Берегиня</t>
  </si>
  <si>
    <t xml:space="preserve">Капітальний ремонт будівлі нежитлового приміщення вул. Чехова 112 в м. Черкаси </t>
  </si>
  <si>
    <t>Реконструкція будівлі за адресою вул. Вернигори, 19, м.Черкаси</t>
  </si>
  <si>
    <t>Капітальний ремонт будівлі (концертний зал) Черкаської ДМШ № 1 ім. М.В. Лисенка</t>
  </si>
  <si>
    <t>Капітальний ремонт частини приміщень будівлі Черкаської дитячої школи мистецтв по провулку Гастелло, 3 (корпусу № 2)</t>
  </si>
  <si>
    <t>Капітальний ремонт будівлі (утеплення фасаду) корпусу 1 Дитячої школи мистецтв, пров. Гастелло, 3</t>
  </si>
  <si>
    <t>Капітальний ремонт навчальних класів корпусу 1 Дитячої школи мистецтв, пров. Гастелло, 3</t>
  </si>
  <si>
    <t>Капітальний ремонт прилеглої території дитячої школи мистецтв, провулок Гастелло, 3 м. Черкаси</t>
  </si>
  <si>
    <t>Капітальний ремонт будівлі ЧМЦБ ім. Лесі Українки</t>
  </si>
  <si>
    <t>Реконструкція будівлі (фасад)  спортивного комплексу з басейном на території КП «Центральний стадіон»</t>
  </si>
  <si>
    <t>Реконструкція  комплексу з басейном "Сокіл"(система рекуперації) по вул. Смілянській, 78</t>
  </si>
  <si>
    <t>Капітальний ремонт будівлі (внутрішні мережі опалення) за адресою: вул. Смілянська, 94, КДЮСШ № 1</t>
  </si>
  <si>
    <t>Капітальний ремонт будівлі спортивного комплексу з басейном на КП "Центральний стадіон" (роздягальні, фойє)  вул. Смілянська, 78</t>
  </si>
  <si>
    <t>Капітальний ремонт прилеглої території (облаштування тротуарною плиткою)  проходу до спортивного комплексу з басейном на території КП "Центральний стадіон" вул. Смілянська, 78</t>
  </si>
  <si>
    <t>Капітальний ремонт будівлі спортивного комплексу з басейном на КП "Центральний стадіон" (зал боксу)  вул. Смілянська, 78</t>
  </si>
  <si>
    <t xml:space="preserve">Реконструкція частини адміністративної будівлі з розміщенням кімнат відпочинку спортсменів КП "Центральний стадіон"  по вул. Смілянська, 78 </t>
  </si>
  <si>
    <t>Реконструкція будівлі спортивного комплексу з басейном на КП "Центральний стадіон" (спортивний зал для ігрових видів спорту)  вул. Смілянська, 78</t>
  </si>
  <si>
    <t>Реконструкція прилеглої території (стаціонарна арена для боксу)   КП "Центральний стадіон" вул. Смілянська, 78</t>
  </si>
  <si>
    <t>Капітальний ремонт будівлі КП "Спортивний комплекс "Будівельник" (система пожежної сигналізації, оповіщення людей про пожежу та передачі тривожних сповіщень) за адресою: пр-т Хіміків 50/1</t>
  </si>
  <si>
    <t>Капітальний ремонт будівлі (покрівля) КП "Спортивний комплекс "Будівельник", за адресою: пр-т Хіміків 50/1</t>
  </si>
  <si>
    <t>Придбання програмного забезпечення для системи електронного документообігу</t>
  </si>
  <si>
    <t xml:space="preserve">Придбання рухомого металевого стелажного обладнання </t>
  </si>
  <si>
    <t>2710160</t>
  </si>
  <si>
    <t xml:space="preserve">Художнє освітлення будівель міста </t>
  </si>
  <si>
    <t>Капітальний ремонт Черкаської гімназії №9 ім. О.М. Луценка (замощення та освітлення прилеглої території), м. Черкаси</t>
  </si>
  <si>
    <t>Будівництво ДНЗ за адресою вул. Г. Дніпра, 87  м. Черкаси</t>
  </si>
  <si>
    <t>2017-2022</t>
  </si>
  <si>
    <t>Реконструкція спортивного багатофункціонального майданчику по вул. Героїв Дніпра 69</t>
  </si>
  <si>
    <t>Реконструкція футбольно-баскетбольної площадки за адресою бульвар Шевченка, 399/1</t>
  </si>
  <si>
    <t>Реконструкція спортивного майданчику за адресою: вул.С.Амброса, 147 м. Черкаси</t>
  </si>
  <si>
    <t>2015-2021</t>
  </si>
  <si>
    <t>2015-2020</t>
  </si>
  <si>
    <t>Виготовлення та встановлення скульптур "Воїна захисника" та "Воїна з мечем" меморіального комплексу пам'яті учасників АТО в м. Черкаси</t>
  </si>
  <si>
    <t>Виготовлення та встановлення інформаційної стели меморіального комплексу пам'яті учасників АТО в м. Черкаси</t>
  </si>
  <si>
    <t>Виготовлення та встановлення скульптури "Древо миру - Древо життя" меморіального комплексу пам'яті учасників АТО в м. Черкаси</t>
  </si>
  <si>
    <t>Будівництво меморіального комплексу пам'яті учасників АТО в м. Черкаси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</si>
  <si>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</si>
  <si>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>Реконструкція вул.Добровольського від бул.Шевченка до вул.Сагайдачного м.Черкаси (виготовлення ПКД)</t>
  </si>
  <si>
    <t>Реконструкція вул.Козацька від вул. Г. Дніпра до набережної м.Черкаси  (виготовлення ПКД)</t>
  </si>
  <si>
    <t xml:space="preserve">Реконструкція вул. Менделєєва від вул. Санаторної до вул. Я. Галана </t>
  </si>
  <si>
    <t xml:space="preserve">Реконструкція вул. Різдвяна від вул. Толстого до вул. Нарбутівська м. Черкаси </t>
  </si>
  <si>
    <t>Реконструкція вул. Чехова від вул. Нижня Горова до вул. Гетьмана Сагайдачного м. Черкаси</t>
  </si>
  <si>
    <t>2018-2021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</si>
  <si>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</si>
  <si>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2013-2020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</si>
  <si>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</si>
  <si>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2016-2021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</si>
  <si>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</si>
  <si>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2016-2020</t>
  </si>
  <si>
    <t>2013-2021</t>
  </si>
  <si>
    <t>Реконструкція вул. Героїв Дніпра  (від вул. Сержанта Смірнова до вул. Козацька), в м. Черкаси</t>
  </si>
  <si>
    <t>2017-2021</t>
  </si>
  <si>
    <t>Реконструкція вул. Ільїна (від вул. Чорновола до вул. Пацаєва) (І черга)</t>
  </si>
  <si>
    <t>Реконструкція вул. Самійла Кішки від вул. Бидгощська до пр-т Хіміків м. Черкаси (виготовлення ПКД)</t>
  </si>
  <si>
    <t>Реконструкція вул.Сумгаїтської від межі міста до вул. Одеської</t>
  </si>
  <si>
    <t xml:space="preserve">Реконструкція із застосуванням щебенево-мастичного асфальтобетону вул. Енгельса від бульв. Шевченка до вул. Бидгощської </t>
  </si>
  <si>
    <t>2011-2021</t>
  </si>
  <si>
    <t xml:space="preserve">Реконструкція із застосуванням щебенево-мастичного асфальтобетону вул. Смілянської від вул. Фрунзе до вул. 30- річчя Перемоги </t>
  </si>
  <si>
    <t>Реконструкція із застосуванням щебенево-мастичного асфальтобетону вул. Хрещатик від вул. Котовського до вул. Леніна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</si>
  <si>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</si>
  <si>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</si>
  <si>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t>Реконструкція вул. Б. Вишневецького (тротуар) від вул. Хрещатик до Замкового узвозу, м. Черкаси</t>
  </si>
  <si>
    <t>Реконструкція  вул. Пастерівська (тротуар парна сторона) від вул. О. Маламужа до вул. Пилипенка м. 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</si>
  <si>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</si>
  <si>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</si>
  <si>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</si>
  <si>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</si>
  <si>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>2017-2020</t>
  </si>
  <si>
    <t>Капітальний ремонт бульв. Шевченка (тротуари від вул. Припортова до вул. Добровольського), м. Черкаси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</si>
  <si>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</si>
  <si>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</si>
  <si>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вул.Сумгаїтська (від вул.Одеська до вул.30-річчя Перемоги) в м.Черкаси</t>
  </si>
  <si>
    <t>Будівництво набережної між вул. Козацька та вул. С. Смірнова м. Черкаси (виготовлення ПКД)</t>
  </si>
  <si>
    <t>Будівництво вул.Квіткова від вул.Сумгаїтської до вул.Хоменко</t>
  </si>
  <si>
    <t>Реконструкція Набережної ("Митниця" - І черга)</t>
  </si>
  <si>
    <t>Реконструкція парку-пам'ятки садово-паркового мистецтва місцевого значення "Сквер Обласної ради"</t>
  </si>
  <si>
    <t>Реконструкція скверу "В'ячеслава Чорновола"</t>
  </si>
  <si>
    <t>Реконструкція спортивного майданчику для занять кросфітом на пляжі "Казбетський"</t>
  </si>
  <si>
    <t>Реконструкція спортивного майданчику по вул. Луначарського у дворі будинків №1,3,4,5 в м. Черкаси</t>
  </si>
  <si>
    <t>Капітальний ремонт внутрішньоквартального проїзду від  вул. Різдвяна, 62 до вул. Благовісна, 455 в м. Черкаси</t>
  </si>
  <si>
    <t>Капітальний ремонт території ярмарок (укладання тротуарною плиткою) по вул.Сумгаїтська поблизу будинку 69</t>
  </si>
  <si>
    <t>Капітальний ремонт приміщення КСН мікрорайону "Кривалівський" за адресою вул. Чехова, 112 (капітальний ремонт водопровідної та водовідвідної  мереж)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</si>
  <si>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</si>
  <si>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</si>
  <si>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</si>
  <si>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Капітальний ремонт, реконструкція житлового фонду ОСББ  (Програма підтримки об'єднань співвласників багатоквартирних будинків (ОСББ, асоціацій ОСББ) у м. Черкаси "Формування відповідального власника житла" на 2019-2020 роки ), на умовах співфінансування</t>
  </si>
  <si>
    <t>Капітальний ремонт житлових будинків (ліфтів) (крім ОСББ та ЖБК) (Програма співфінансування  капітального ремонту та реконструкції багатоквартирних житлових  будинків та їх прибудинкових територій (крім ОСББ та ЖБК) у місті Черкаси на 2019-2022 роки)</t>
  </si>
  <si>
    <t>Будівництво мережі зовнішнього освітлення прибудинкової території житлових будинків  № 76, 78 по вул. Толстого</t>
  </si>
  <si>
    <t>Придбання промислової пральної машини ДНЗ № 13</t>
  </si>
  <si>
    <t>Придбання промислової пральної машини ДНЗ№ 43</t>
  </si>
  <si>
    <t>Придбання промислової пральної машини ДНЗ № 59</t>
  </si>
  <si>
    <t>Придбання промислової пральної машини ДНЗ №74</t>
  </si>
  <si>
    <t>Придбання комп’ютерної техніки ЗОШ № 12</t>
  </si>
  <si>
    <t>Придбання обладнання в кабінет праці ЗОШ № 12</t>
  </si>
  <si>
    <t>Придбання звукового та освітлювального обладнання ЗОШ №12</t>
  </si>
  <si>
    <t>Придбання комп’ютерної техніки ЗОШ №21</t>
  </si>
  <si>
    <t>Придбання обладнання в кабінет праці ЗОШ №21</t>
  </si>
  <si>
    <t>Придбання звукового та освітлювального обладнання ЗОШ №21</t>
  </si>
  <si>
    <t>Придбання комп’ютерної техніки ЗОШ №22</t>
  </si>
  <si>
    <t>Придбання обладнання в кабінет праці ЗОШ №22</t>
  </si>
  <si>
    <t>Придбання звукового та освітлювального обладнання ЗОШ№ 22</t>
  </si>
  <si>
    <t xml:space="preserve">Реконструкція Гімназії №9 з надбудовою рекреаційного приміщення над частиною підвалу (ТИР) </t>
  </si>
  <si>
    <t xml:space="preserve">Реконструкція будівлі (утеплення фасаду) СШ № 13 </t>
  </si>
  <si>
    <t xml:space="preserve">Капітальний ремонт будівлі  ДНЗ № 54 </t>
  </si>
  <si>
    <t xml:space="preserve">Капітальний  ремонт будівлі ДНЗ №81  </t>
  </si>
  <si>
    <t>Капітальний ремонт будівлі (заміна вікон) ДНЗ №62</t>
  </si>
  <si>
    <t xml:space="preserve">Капітальний ремонт будівлі (заміна вікон) ДНЗ № 60 </t>
  </si>
  <si>
    <t xml:space="preserve">Капітальний ремонт будівлі   (санвузли) ЗОШ №22 </t>
  </si>
  <si>
    <t>Капітальний ремонт будівлі (утеплення фасаду) НВК ЗОШ № 34</t>
  </si>
  <si>
    <t xml:space="preserve">Капітальний ремонт будівлі  (тир) гімназія № 31 </t>
  </si>
  <si>
    <t>Капітальний ремонт будівлі (влаштування автоматичної системи пожежної сигналізації та оповіщення, автоматичної системи пожежогасіння) ФІМЛІ ЧМР</t>
  </si>
  <si>
    <t>Капітальний ремонт будівлі  КНП «Друга Черкаська міська лікарня відновного лікування» (заміна вікон та утеплення фасаду)</t>
  </si>
  <si>
    <t>Придбання комп’ютерної техніки гімназії № 9</t>
  </si>
  <si>
    <t>Придбання прицілу Gehmann, КДЮСШ № 2  ЧМР</t>
  </si>
  <si>
    <t>Придбання тренажеру для плавання  КДЮСШ № 2 ЧМР (2од.)</t>
  </si>
  <si>
    <t>Придбання телевізору SmartTV 43”для КДЮСШ "Вікторія" ЧМР</t>
  </si>
  <si>
    <t>Придбання тренажеру «Верхня тяга» для КДЮСШ "Вікторія" ЧМР</t>
  </si>
  <si>
    <t>Придбання тренажеру «Піпітра Скотта – біцепс» для КДЮСШ "Вікторія" ЧМР</t>
  </si>
  <si>
    <t>Придбання покришки для килима греко-римської боротьби 16м х 8м, КДЮСШ "Вікторія" ЧМР</t>
  </si>
  <si>
    <t>Придбання квартири в м.Черкаси для спортсмена-інструктора національної штатної збірної команди України з футболу серед спортсменів з наслідками ДЦП  чемпіона XV літніх Паралімпійських ігор 2016 року, чемпіона світу 2017 року Кулинича Б.Г.</t>
  </si>
  <si>
    <t>Реконструкція території по вул. Смілянській, 33 (біля ЦДЮТ)</t>
  </si>
  <si>
    <t>Придбання комп’ютерного обладнання (комп’ютер стаціонарний) (за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бюджету)</t>
  </si>
  <si>
    <t>Будівництво полігону твердих побутових відходів в районі с. Руська Поляна</t>
  </si>
  <si>
    <t xml:space="preserve">Директор департаменту фінансової політики      </t>
  </si>
  <si>
    <t>Т.І. Харенко</t>
  </si>
  <si>
    <t>Капітальний ремонт прилеглої території (огорожа) НВК ЗОШ № 34</t>
  </si>
  <si>
    <t xml:space="preserve">Капітальний  ремонт внутрішньоквартального проїзду вул. Благовісна буд.330; буд. 332  </t>
  </si>
  <si>
    <t>Капітальний ремонт внутрішньоквартального проїзду вул. Чехова 82, Нарбутівська 187 в м. Черкаси</t>
  </si>
  <si>
    <t>Капітальний ремонт внутрішньоквартального проїзду вул. Чехова 54,56 від вул. Чехова до вул. Гоголя м. Черкаси</t>
  </si>
  <si>
    <t>Капітальний ремонт дитячого та спортивного майданчика по вул. Смірнова, 2</t>
  </si>
  <si>
    <t xml:space="preserve"> Внески в статутний капітал  КП "Черкаситеплокомуненерго", в т.ч.:</t>
  </si>
  <si>
    <t>Капітальний ремонт (утеплення фасадів) виробничої будівлі КПТМ «Черкаситеплокомуненерго» по вул. Прикордонника Лазаренка, 6</t>
  </si>
  <si>
    <t>Капітальний ремонт огороджуючих конструкцій з заміною вікон котельні по вул. Онопрієнка, 8 в м. Черкаси</t>
  </si>
  <si>
    <t>Капітальний ремонт огороджуючих конструкцій (з заміною вікон) котельні по вул. Красовського, 10 в м. Черкаси</t>
  </si>
  <si>
    <t>Придбання вантажного автомобіля з напівпричипом</t>
  </si>
  <si>
    <t>Придбання лічильників тепла та води</t>
  </si>
  <si>
    <t>Капітальний ремонт безгосподарчих теплових мереж</t>
  </si>
  <si>
    <t>Капітальний ремонт спортивного майданчику для занять кросфітом на пляжі "Казбетський"</t>
  </si>
  <si>
    <t>Придбання обладнання і предметів довгострокового користування (апарат для неінвазивної та інвазивної вентиляції легень) для КНП "П'ятий Черкаський міський центр первинної медико-санітарної допомоги"</t>
  </si>
  <si>
    <t>Внески в статутний капітал КНП "П'ятий Черкаський міський центр первинної медико-санітарної допомоги", в т.ч.:</t>
  </si>
  <si>
    <t>Реконструкція прилеглої території (спортивний майданчик) Перша міська гімназія</t>
  </si>
  <si>
    <t>Капітальний ремонт будівлі СШ № 33</t>
  </si>
  <si>
    <t>Реконструкція будівлі (фасад) ДНЗ № 59</t>
  </si>
  <si>
    <t xml:space="preserve">Капітальний ремонт будівлі (басейн) ДНЗ №34 </t>
  </si>
  <si>
    <t>Реконструкція прилеглої території (покриття синтетична трава) гімназія № 31</t>
  </si>
  <si>
    <t>Капітальний ремонт спортивного майданчику зі штучним покриттям ЗОШ № 6</t>
  </si>
  <si>
    <t>Капітальний ремонт спортивного майданчику зі штучним покриттям ЗОШ № 29</t>
  </si>
  <si>
    <t>Реконструкція будівлі ДНЗ № 21 (ПКД)</t>
  </si>
  <si>
    <t>Капітальний ремонт вул. Ю. Іллєнка від вул. Нарбутівська до вул. Нижня Горова  в м. Черкаси (виготовлення ПКД)</t>
  </si>
  <si>
    <t>Капітальний ремонт внутрішньоквартального проїзду вул. Різдвяна буд. 9 до вул. Ю. Іллєнка  буд. 22 в м. Черкаси</t>
  </si>
  <si>
    <t xml:space="preserve">Капітальний ремонт вул. Нарбутівська від вул. Ю. Іллєнка до вул.  Різдвяна м. Черкаси </t>
  </si>
  <si>
    <t>Реконструкція вул. Сержанта Жужоми (від вул. Гагаріна до вул. Героїв Дніпра) в м. Черкаси</t>
  </si>
  <si>
    <t>Будівництво дитячого та спортивного майданчика на розі вул. Абрикосова та вул. Онопрієнка, м. Черкаси</t>
  </si>
  <si>
    <t>Реконструкція (асфальтування) баскетбольного майданчику по вул. Генерала Момота, 1,3,5,7, м. Черкаси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</si>
  <si>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</si>
  <si>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Найменування головного розпорядника коштів місцевого бюджету,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</si>
  <si>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Придбання тренажеру : «Біцепс–машина» для  КДЮСШ "Вікторія" ЧМР</t>
  </si>
  <si>
    <t xml:space="preserve">Капітальний ремонт прилеглої території  (замощення та освітлення території) Черкаської Гімназії №9 О.М. Луценка </t>
  </si>
  <si>
    <t xml:space="preserve">Капітальний ремонт прилеглої території (спортивний майданчик) Черкаської загальноосвітньої школи І-ІІІ ст. № 30 ЧМР </t>
  </si>
  <si>
    <t>Капітальний ремонт будівлі (заміна вікон та внутрішніх дверей) Черкаської загальноосвітньої школи І-ІІІ ст. № 30 ЧМР</t>
  </si>
  <si>
    <t>Будівництво контейнерного майданчику для збору ТПВ за адресою вул. Тараскова 13</t>
  </si>
  <si>
    <t>Інші заходи у сфері електротранспорту</t>
  </si>
  <si>
    <t>Капітальний ремонт пішохідної алеї від вул. Героїв Дніпра вздовж житловго будинку № 51 до ЗОШ НВК № 34</t>
  </si>
  <si>
    <t>Капітальний ремонт пішохідної алеї від вул. Кобзарська до вул. Берегова</t>
  </si>
  <si>
    <t>Капітальний ремонт пішохідної алеї від ж/б № 24 по вул. Подолинського до ДНЗ № 60 в м. Черкаси</t>
  </si>
  <si>
    <t>Капітальний ремонт вул. Нарбутівська (тротуар, парна сторона, від вул. Cемеренківська до вул. Подолинського) в м. Черкаси</t>
  </si>
  <si>
    <t>Реконструкція вул. Генерела Момота (перехрестя з вулицями Онопрієнка, Лісова Просіка)</t>
  </si>
  <si>
    <t>Будівництво мережі освітлення в парку-пам'ятці садово-паркового мистецтва місцевого значення "Парк Хіміків" по проспекту Хіміків в м.Черкаси</t>
  </si>
  <si>
    <t>Капітальний ремонт мереж зовнішнього освітлення з встановленням додаткового освітлення пішохідних переходів по вул. Кобзарська в м.Черкаси</t>
  </si>
  <si>
    <t>Капітальний ремонт мереж зовнішнього освітлення з встановленням додаткового освітлення пішохідних переходів по вул. Різдвяна в м.Черкаси</t>
  </si>
  <si>
    <t>Капітальний ремонт мереж зовнішнього освітлення з встановленням додаткового освітлення пішохідних переходів по вул. Руставі  в м.Черкаси</t>
  </si>
  <si>
    <t>Капітальний ремонт мереж зовнішнього освітлення з встановленням додаткового освітлення пішохідних переходів по вул. Сергія Амброса  в м.Черкаси</t>
  </si>
  <si>
    <t xml:space="preserve">Капітальний ремонт мереж зовнішнього освітлення з встановленням додаткового освітлення пішохідних переходів по вул. Юрія Іллєнка  в м.Черкаси </t>
  </si>
  <si>
    <t>Капітальний ремонт мереж зовнішнього освітлення з встановленням додаткового освітлення пішохідних переходів по вул. 30 років Перемоги в м.Черкаси</t>
  </si>
  <si>
    <t>Реконструкція мережі зовнішнього освітлення вул. Святомакаріївська</t>
  </si>
  <si>
    <t>Придбання та встановлення уніфікованої системи позначок туристичних об’єктів інформаційних стендів, вказівників, що вказують напрямок та відстань до об'єктів туристичної інфраструктури (4шт)</t>
  </si>
  <si>
    <t>Капітальний ремонт будівель станції швидкої медичної допомоги по вул. О.Дашковича, 41, 40-42</t>
  </si>
  <si>
    <t>Реконструкція вул.Чайковського від вул.Максима Залізняка до вул.Вячеслава Чорновола м.Черкаси (виготовлення ПКД)</t>
  </si>
  <si>
    <t xml:space="preserve">Капітальний ремонт вул. Гоголя (тротуар, парна сторона, від вул. В.Чорновола до вул. Ю.Іллєнка) в м. Черкаси </t>
  </si>
  <si>
    <t xml:space="preserve">Будівництво мережі зовнішнього освітлення прибудинкової території житлових будинків № 17, 17/1 по вул. Митницька в  м. Черкаси </t>
  </si>
  <si>
    <t xml:space="preserve">Будівництво мережі зовнішнього освітлення прибудинкової території житлових будинків № 180, 182, 184 по вул. Благовісна в  м. Черкаси </t>
  </si>
  <si>
    <t>Будівництво мережі зовнішнього освітлення прибудинкової території житлових будинків № 272 по бульвару Шевченка в  м. Черкаси</t>
  </si>
  <si>
    <t>0616082</t>
  </si>
  <si>
    <t>0610</t>
  </si>
  <si>
    <t>Придбання житла для окремих категорій населення відповідно до законодавства</t>
  </si>
  <si>
    <t>Капітальний ремонт міжквартального проїзду від вулиці Хоменка до житлового будинку № 1 по вул. Десантників в м.Черкаси (включаючи під'їзд до ДНЗ № 89 "Котигорошко" між будинками № 18 та 18/1 по вул.Хоменка)</t>
  </si>
  <si>
    <t>Будівництво (розміщення) атракціону "Колесо огляду" в парку "Сосновий Бір" (відновлення) по вул. Дахнівській, 121 в м. Черкаси</t>
  </si>
  <si>
    <t>Реконструкція мережі зовнішнього освітлення вул. Героїв Холодного Яру (від проспекту Хіміків до ПАТ "Азот")</t>
  </si>
  <si>
    <t xml:space="preserve">Капітальний ремонт вул. Благовісна (тротуар, непарна сторона від вул. Митницька до вул. Небесної Сотні) </t>
  </si>
  <si>
    <t xml:space="preserve">Капітальний ремонт вул. Благовісна (тротуар, парна сторона, від вул. Митницька до вул. Небесної Сотні) </t>
  </si>
  <si>
    <t>Реконструкція  мережі зовнішнього освітлення прибудинкової території житлових будинків  №106;  №108; №110 по вул.Чехова в м. Черкаси</t>
  </si>
  <si>
    <t>Придбання та встановлення обладнання для дитячого майданчика за адресою вул. Хрещатик 51 у м.Черкаси</t>
  </si>
  <si>
    <t>Придбання та встановлення обладнання для дитячого майданчика у дворі будників по вул. Хрещатик 130, вул. Пушкіна 39 у м.Черкаси</t>
  </si>
  <si>
    <t>Реконструкція контейнерного майданчика для збору ТПВ за адресою вул. Амброса 72</t>
  </si>
  <si>
    <t>Будівництво контейнерного майданчика для збору ТПВ за адресою вул. Амброса 92</t>
  </si>
  <si>
    <t>Будівництво контейнерного майданчика для збору ТПВ за адресою вул. Добровольського 6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</si>
  <si>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</si>
  <si>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</si>
  <si>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</si>
  <si>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</si>
  <si>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</si>
  <si>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</si>
  <si>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</si>
  <si>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</si>
  <si>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</si>
  <si>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</si>
  <si>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</si>
  <si>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</si>
  <si>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</si>
  <si>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ПСЕР</t>
  </si>
  <si>
    <t>Баланс</t>
  </si>
  <si>
    <t>доходи</t>
  </si>
  <si>
    <t>залучення</t>
  </si>
  <si>
    <t>субвенція з ОДА</t>
  </si>
  <si>
    <t>Найменування доходів</t>
  </si>
  <si>
    <t>План на 2020 рік</t>
  </si>
  <si>
    <r>
      <t>24110700</t>
    </r>
    <r>
      <rPr>
        <sz val="14"/>
        <rFont val="Times New Roman"/>
        <family val="1"/>
      </rPr>
      <t xml:space="preserve"> Плата за гарантії, надані Верховною Радою Автономної Республіки Крим та міськими радами  </t>
    </r>
  </si>
  <si>
    <r>
      <t>24170000</t>
    </r>
    <r>
      <rPr>
        <sz val="14"/>
        <rFont val="Times New Roman"/>
        <family val="1"/>
      </rPr>
      <t xml:space="preserve"> Надходження коштів пайової участі у розвитку інфраструктури населеного пункту</t>
    </r>
  </si>
  <si>
    <r>
      <t>31030000</t>
    </r>
    <r>
      <rPr>
        <sz val="14"/>
        <rFont val="Times New Roman"/>
        <family val="1"/>
      </rPr>
      <t xml:space="preserve"> Кошти від відчуження майна, що належить Автономній Республіці Крим та майна, що перебуває в комунальній власності  </t>
    </r>
  </si>
  <si>
    <r>
      <t>33010000</t>
    </r>
    <r>
      <rPr>
        <sz val="14"/>
        <rFont val="Times New Roman"/>
        <family val="1"/>
      </rPr>
      <t xml:space="preserve"> Кошти від продажу землі  </t>
    </r>
  </si>
  <si>
    <t>ВСЬОГО ДОХОДІВ ПО БЮДЖЕТУ РОЗВИТКУ</t>
  </si>
  <si>
    <r>
      <t>602400</t>
    </r>
    <r>
      <rPr>
        <sz val="14"/>
        <rFont val="Times New Roman"/>
        <family val="1"/>
      </rPr>
      <t xml:space="preserve"> Кошти, що предаються із загального фонду бюджету до бюджету розвитку (спеціального фонду) </t>
    </r>
  </si>
  <si>
    <t>Повернення коштів,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зобов`язань за позичальників, що отримали кредити під місцеві гарантії</t>
  </si>
  <si>
    <t>ВСЬОГО ДЖЕРЕЛА ФІНАНСУВАННЯ</t>
  </si>
  <si>
    <t>Залишок коштів станом на 01.01.2020 року</t>
  </si>
  <si>
    <t>3718881</t>
  </si>
  <si>
    <t>Забезпечення гарантійних зобов'язань за позичальників, що отримали кредити під місцеві гарантії</t>
  </si>
  <si>
    <t>Виконання Автономною Республікою Крим чи територіальною громадою міста гарантійних зобов'язань за позичальників, що отримали кредити під місцеві гарантії, у т.ч.: КП "Черкасиводоканал", КПТМ "Черкаситеплокомуненерго".</t>
  </si>
  <si>
    <t>Погашення позик:</t>
  </si>
  <si>
    <t>Погашення тіла кредиту отриманого від НЕФКО</t>
  </si>
  <si>
    <t>РАЗОМ ВИДАТКІВ</t>
  </si>
  <si>
    <t>Номер в LOGICA</t>
  </si>
  <si>
    <t>Залишок призначень до плану поточного місяця</t>
  </si>
  <si>
    <t>Залишок призначень до річного плану</t>
  </si>
  <si>
    <t>Пропозиції на сесію</t>
  </si>
  <si>
    <t>Надійшло</t>
  </si>
  <si>
    <t>Розміщено на депозиті</t>
  </si>
  <si>
    <t>Залишок коштів до розподілу</t>
  </si>
  <si>
    <t>Придбання спеціальних засобів корекції психофізичного розвитку, що дають змогу опанувати навчальну програму, для осіб з особливими освітніми потребами, які здобувають освіту в інклюзивних групах закладів дошкільної освіти (за рахунок залишку коштів субвенції з державного бюджету для надання державної підтримки особам з особливими освітніми потребами)</t>
  </si>
  <si>
    <t>Придбання спеціальних засобів корекції психофізичного розвитку, що дають змогу опанувати навчальну програму, для осіб з особливими освітніми потребами, які здобувають освіту в інклюзивних та спеціальних класах закладів загальної середньої освіти (за рахунок залишку коштів субвенції з державного бюджету для надання державної підтримки особам з особливими освітніми потребами)</t>
  </si>
  <si>
    <t>Придбання інтерактивної дошки, проектора, ноутбука для СШ № 20</t>
  </si>
  <si>
    <t>Придбання навчального обладнання для закладів загальної середньої освіти</t>
  </si>
  <si>
    <t>Придбання інтерактивної дошки для ЗОШ № 2</t>
  </si>
  <si>
    <t>Придбання ноутбуку для ПНЗ БМЦ ЧМР</t>
  </si>
  <si>
    <t>Придбання принтеру для ПНЗ БМЦ ЧМР</t>
  </si>
  <si>
    <t>Придбання телевізору для ПНЗ БМЦ ЧМР</t>
  </si>
  <si>
    <t>Придбання комплекту наборів для гри в шахи ПНЗ БМЦ ЧМР</t>
  </si>
  <si>
    <t>Придбання спеціальних засобів корекції психофізичного розвитку, що дають змогу опанувати навчальну програму, для осіб з особливими освітніми потребами, які здобувають освіту в спеціальних групах закладів професійної (професійно-технічної) освіти (за рахунок залишку коштів субвенції з державного бюджету для надання державної підтримки особам з особливими освітніми потребами)</t>
  </si>
  <si>
    <t>Придбання музичних інструментів для ДМШ № 1 ім. М.В. Лисенка</t>
  </si>
  <si>
    <t>Придбання музичних інструментів для ДМШ № 2</t>
  </si>
  <si>
    <t>Придбання музичних інструментів для ДМШ № 3</t>
  </si>
  <si>
    <t>Придбання музичних інструментів для ДМШ № 5</t>
  </si>
  <si>
    <t>Придбання музичних інструментів для Дитячої школи мистецтв</t>
  </si>
  <si>
    <t>Реконструкція будівлі ДНЗ № 54</t>
  </si>
  <si>
    <t>Капітальний ремонт прилеглої території ДНЗ № 29</t>
  </si>
  <si>
    <t>Реконструкція будівлі  (утеплення фасаду) ЗОШ № 15</t>
  </si>
  <si>
    <t xml:space="preserve">Реконструкція будівлі (спортивний зал) ЗОШ № 5 </t>
  </si>
  <si>
    <t>Капітальний ремонт будівлі ФІМЛІ ЧМР</t>
  </si>
  <si>
    <t>Капітальний ремонт будівлі (вхідна група) для шахового клубу ПНЗ БМЦ ЧМР</t>
  </si>
  <si>
    <t>Капітальний ремонт будівлі (санітарні вузли) СШ № 20</t>
  </si>
  <si>
    <t>Капітальний ремонт будівлі ЗОШ № 2</t>
  </si>
  <si>
    <t>Реконструкція будівлі ЧМЦБ ім. Лесі Українки</t>
  </si>
  <si>
    <t>Капітальний ремонт будівлі по вул. В.Чорновола, 54/1 для проведеня навчально-тренувальних занять відділень ДЮСШ в м. Черкаси (виготовлення енергетичного сертифікату)</t>
  </si>
  <si>
    <t xml:space="preserve">Капітальний ремонт будівлі КНП "Перша Черкаська міська лікарня" (операційний блок) за адресою м. Черкаси, вул. Дахнівська, 32 </t>
  </si>
  <si>
    <t xml:space="preserve">Капітальний ремонт будівлі КНП "Перша Черкаська міська лікарня" (рентгенівського кабінету № 2) по вул. Дахнівська, 32 м. Черкаси </t>
  </si>
  <si>
    <t>Придбання обладнання і предметів довгострокового користування для КНП "Друга Черкаська міська лікарня відновного лікування"</t>
  </si>
  <si>
    <t>Капітальний ремонт будівлі КНП «Друга Черкаська міська лікарня відновного лікування» (встановлення протипожежної  сигналізації)</t>
  </si>
  <si>
    <t>Придбання проектора з екраном для КП "МСК "Дніпро" вул.Смілянська, 78</t>
  </si>
  <si>
    <t>Придбання відеокамери для КП "МСК "Дніпро" вул.Смілянська, 78</t>
  </si>
  <si>
    <t>Придбання комп'ютерної, копіювальної та іншої оргтехніки для КП "МСК "Дніпро" вул.Смілянська, 78</t>
  </si>
  <si>
    <t>Будівництво стадіону в районі вул. М. Грушевського та вул. Добровольчих батальйонів в м. Черкаси (з ПКД)</t>
  </si>
  <si>
    <t xml:space="preserve">Капітальний ремонт будівлі спортивного комплексу з басейном (плавальний басейн) КП «МСК "Дніпро" вул. Смілянська, 78 м.Черкаси (з ПКД) </t>
  </si>
  <si>
    <t>Придбання переносних трибун в ігровий зал  КП «МСК "Дніпро"» вул. Смілянська, 78</t>
  </si>
  <si>
    <t xml:space="preserve">Придбання багатофункціонального електронного табло ТВ 23-2 для  КП «МСК "Дніпро"» вул. Смілянська, 78 </t>
  </si>
  <si>
    <t>Придбання лічильників води ДУ 80 обладнаних радіомодулем  для  КП «МСК "Дніпро"» вул. Смілянська, 78</t>
  </si>
  <si>
    <t>Будівництво мультифункціонального майданчика для занять ігровими видами спорту за адресою: вулиця Героїв Дніпра в м. Черкаси</t>
  </si>
  <si>
    <t>0619770</t>
  </si>
  <si>
    <t>9770</t>
  </si>
  <si>
    <t>Інші субвенції з місцевого бюджету</t>
  </si>
  <si>
    <t>Надання субвенції з місцевого бюджету на придбання сценічних костюмів капелі бандуристів комунального закладу «Об’єднання художніх колективів» Черкаської обласної ради» для участі у відкритому міському фестивалі бандурного мистецтва «Cherkasy Bandura Music Fest»</t>
  </si>
  <si>
    <t>Придбання обладнання і предметів довгострокового користування (комп’ютерна техніка, оргтехніка, кондиціонери, реабілітаційне обладнання) для центру комплексної реабілітації для осіб з інвалідністю «Жага життя»</t>
  </si>
  <si>
    <t>Придбання та встановлення обладнання для дитячого майданчика за адресою вул. Хрещатик 55 у м.Черкаси</t>
  </si>
  <si>
    <t>Капітальний ремонт будівлі по вул. Хоменка, 19 в м. Черкаси</t>
  </si>
  <si>
    <t>Будівництво мережі зовнішнього освітлення пішохідної алеї по вул. Менделєєва</t>
  </si>
  <si>
    <t>Будівництво мережі зовнішнього освітлення велодоріжки по вул. Менделєєва</t>
  </si>
  <si>
    <t>Капітальний ремонт житлового будинку по вул. Благовісна, 180 (покрівля)</t>
  </si>
  <si>
    <t>Розробка детального плану території Замкового узвозу</t>
  </si>
  <si>
    <t>Реконструкція вул. Гагаріна від вул. С.Жужоми до вул. С.Смірнова м. Черкаси</t>
  </si>
  <si>
    <t>1619770</t>
  </si>
  <si>
    <t>Субвенція обласному бюджету на об'єкт "Реконструкція Черкаського академічного обласного українського музично-драматичного театру імені Т.Г. Шевченка по бульв. Шевченка, 234 у м. Черкасах з метою ліквідації наслідків надзвичайної ситуації техногенного характеру внаслідок пожежі, яка сталася 01.07.2015 в приміщенні театру. ІІ черга"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</si>
  <si>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</si>
  <si>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</si>
  <si>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Програма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2019-2021 роки (придбання комп'ютерної та оргтехніки, технічного оснащення ЦОП) </t>
  </si>
  <si>
    <t>Придбання багатофункціонального пристрою  (ксерокс, принтер, сканер) для ДЮСШ з веслування ЧМР</t>
  </si>
  <si>
    <t>Придбання акустичної системи для ДЮСШ з веслування ЧМР</t>
  </si>
  <si>
    <t>Придбання ноутбуку для КДЮСШ № 1 ЧМР</t>
  </si>
  <si>
    <t>Придбання принтеру для КДЮСШ № 2 ЧМР</t>
  </si>
  <si>
    <t>Придбання принтеру для КДЮСШ "Вікторія" ЧМР</t>
  </si>
  <si>
    <t>Придбання спортивних товарів та інвентарю для ДЮСШ м. Черкаси (в т.ч. субвенція з державного бюджету на соціально-економічний розвиток - 173 830,39 грн)</t>
  </si>
  <si>
    <t>Капітальний ремонт прилеглої території (спортивний майданчик) Черкаської спеціалізованої школи І-ІІІ ступенів № 13 Черкаської міської ради за адресою вул. Гетьмана Сагайдачного, 146 в м. Черкаси (в т.ч. субвенція з державного бюджету на соціально-економічний розвиток - 8 010,66 грн)</t>
  </si>
  <si>
    <t>Капітальний ремонт прилеглої території (спортивний майданчик) Черкаської загальноосвітньої школи І-ІІІ ступенів № 22 Черкаської міської ради за адресою вул. Кобзарська, 108 в м. Черкаси (в т.ч. субвенція з державного бюджету на соціально-економічний розвиток - 1 181,79 грн)</t>
  </si>
  <si>
    <t>Капітальний ремонт прилеглої території (спортивний майданчик) Черкаської загальноосвітньої школи І-ІІІ ступенів № 25 Черкаської міської ради за адресою вул. Нарбутівська, 206 в м. Черкаси (в т.ч. субвенція з державного бюджету на соціально-економічний розвиток - 895,63 грн)</t>
  </si>
  <si>
    <t>Реконструкція прилеглої території (покриття синтетична трава) Черкаської гімназії № 31 за адресою вул. Героїв Дніпра, 27 Черкаської міської ради в м. Черкаси (в т.ч. субвенція з державного бюджету на соціально-економічний розвиток - 1 171,85 грн)</t>
  </si>
  <si>
    <t>Придбання кріосауни для КП "МСК "Дніпро" ЧМР</t>
  </si>
  <si>
    <t>Придбання комплекту обладнання "смуга перешкод" для КП "МСК "Дніпро" ЧМР</t>
  </si>
  <si>
    <t>Придбання пресу прасувального для КП "МСК "Дніпро" вул.Смілянська, 78</t>
  </si>
  <si>
    <t>Придбання пральної машини для КП "МСК "Дніпро" вул.Смілянська, 78</t>
  </si>
  <si>
    <t>Придбання машини для сушки постільної білизни для КП "МСК "Дніпро" вул.Смілянська, 78</t>
  </si>
  <si>
    <t>Придбання автобуса для КП "МСК "Дніпро"</t>
  </si>
  <si>
    <t>Внески в статутний капітал  КП "МСК "Дніпро", в т.ч.:</t>
  </si>
  <si>
    <t>Капітальний ремонт системи опалення житлового будинку (встановлення циркуляційного насосу з погодозалежним регулятором температури) по вул. В. Чорновола, 9, м. Черкаси</t>
  </si>
  <si>
    <t>Капітальний ремонт прибудинкової території житлового будинку по вул. В. Чорновола, 122/41 в м. Черкаси</t>
  </si>
  <si>
    <t>Будівництво контейнерного майданчику для збору ТПВ за адресою вул. Гоголя 409</t>
  </si>
  <si>
    <t>Будівництво контейнерного майданчику для збору ТПВ за адресою вул. Припортова, 39</t>
  </si>
  <si>
    <t>Будівництво контейнерного майданчику для збору ТПВ за адресою вул. Нечую Левицького, 2</t>
  </si>
  <si>
    <t>Придбання та монтаж спортивного ігрового майданчика м. Черкаси, вул. Сумгаїтська 51 (в т.ч. субвенція з державного бюджету на соціально-економічний розвиток - 38 488,35 грн)</t>
  </si>
  <si>
    <t>Капітальний ремонт вул. Десантників (тротуар, парна, непарна сторона) від  вул. Вернигори до вул. Хоменка</t>
  </si>
  <si>
    <t>Капітальний ремонт вул. Гоголя (тротуар, парна та непарна сторона, від вул. Казбетська до вул. Крилова)</t>
  </si>
  <si>
    <t>Капітальний ремонт дитячого та спортивного майданчиків  у дворі будинку по вул. Героїв Дніпра, 69, м. Черкаси</t>
  </si>
  <si>
    <t>Реконструкція бул. Шевченка від вул. Лазарєва до вул. Б.Вишневецького м. Черкаси</t>
  </si>
  <si>
    <t>Капітальний ремонт бульв. Шевченка від вул. Університетської до вул. Можайського</t>
  </si>
  <si>
    <t>Реконструкція вул. Новопречистенська від вул. Гетьмана Сагайдачного до вул. С. Амброса в м. Черкаси (виготовлення ПКД)</t>
  </si>
  <si>
    <t>Капітальний ремонт  внутрішньоквартального проїзду по вул. Гетьмана Сагайдачного  від буд. 243 до  вул. Подолинського, 24 м. Черкаси</t>
  </si>
  <si>
    <t>Капітальний ремонт,  реконструкція житлового фонду  (крім ОСББ та ЖБК) (Програма співфінансування  капітального ремонту та реконструкції багатоквартирних житлових  будинків та їх прибудинкових територій (крім ОСББ та ЖБК) у місті Черкаси на 2019-2022 роки), з них:</t>
  </si>
  <si>
    <t>Капітальний ремонт будівлі (теплообмінник ІТП) ДНЗ № 5</t>
  </si>
  <si>
    <t>Реконструкція прилеглої території (благоустрій) ДНЗ № 22</t>
  </si>
  <si>
    <t>Капітальний ремонт будівлі (покрівля) ЗОШ № 10</t>
  </si>
  <si>
    <t>Придбання мультимедійної дошки, проектора, телевізора для ЗОШ №21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</si>
  <si>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</si>
  <si>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</si>
  <si>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</si>
  <si>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стадіону (футбольного поля із поліуретановим покриттям розміром 60x40 м, легкоатлетичними доріжками, трибунами та освітленням) у Черкаській загальноосвітній школі І-ІІІ ступенів №29 Черкаської міської ради Черкаської області, за адресою: вул. Карбишева, 5 м.Черкаси</t>
  </si>
  <si>
    <t>Придбання обладнання і предметів довгострокового користування (медичне обладнання) для КНП "Черкаська міська інфекційна лікарня"</t>
  </si>
  <si>
    <t>Будівництво контейнерного майданчика для збору ТПВ по вул. Генерала Момота, 7, 9, 11</t>
  </si>
  <si>
    <t>Реконструкція мережі водопостачання в районі будинків № 162-170 по вулиці Грушевського</t>
  </si>
  <si>
    <t>Капітальний ремонт парку "Європейський" (благоустрій території)</t>
  </si>
  <si>
    <t>Будівництво локальних очисних споруд для очищення зливових (дощових) та талих вод на витоку по вул. Університетської в м. Черкаси</t>
  </si>
  <si>
    <t>Придбання дорожнього пилосмоку</t>
  </si>
  <si>
    <t>Надання субвенції з місцевого бюджету 2-му державному пожежно-рятувальному загону УДСНС України у Черкаській області для придбання  костюмів спеціальних захисних для пожежних</t>
  </si>
  <si>
    <t>1218110</t>
  </si>
  <si>
    <t>Заходи із запобігання та ліквідації надзвичайних ситуацій та наслідків стихійного лиха</t>
  </si>
  <si>
    <t>Придбання оприскувачів (бензинових)</t>
  </si>
  <si>
    <t>Подано заявок</t>
  </si>
  <si>
    <t xml:space="preserve">Придбання системи відеоспостереження з можливістю дистанційного скринінгу температури </t>
  </si>
  <si>
    <t>Капітальний ремонт будівлі ДНЗ № 91 (мощення, тротуарна плитка)</t>
  </si>
  <si>
    <t>Придбання обладнання і предметів довгострокового користування (медичне обладнання) для КНП "Черкаська міська інфекційна лікарня" (за рахунок субвенції з обласного бюджету на покращення матеріально-технічного стану закладів охорони здоров'я області - 91 000,00 грн)</t>
  </si>
  <si>
    <t>Внески в статутний капітал  КНП "Черкаська міська дитяча лікарня", в т.ч.:</t>
  </si>
  <si>
    <t>Придбання обладнання і предметів довгострокового користування (медичне обладнання) для КНП "Черкаська міська дитяча лікарня" (за рахунок субвенції з обласного бюджету на покращення матеріально-технічного стану закладів охорони здоров'я області - 234 000,00 грн)</t>
  </si>
  <si>
    <t>Придбання обладнання і предметів довгострокового користування (медичне обладнання) для КНП «Черкаська міська дитяча лікарня»</t>
  </si>
  <si>
    <t xml:space="preserve">41053900 Інші субвенції (на покращення матеріально-технічного стану закладів охорони здоров’я області) </t>
  </si>
  <si>
    <t>Внески в статутний капітал КНП "Черкаський міський пологовий будинок "Центр матері та дитини", в т.ч.:</t>
  </si>
  <si>
    <t>Придбання обладнання  і предметів довгострокового користування (медичне обладнання) для КНП "Черкаський міський пологовий будинок "Центр матері та дитини"</t>
  </si>
  <si>
    <t>Внески в статутний капітал КНП "Черкаська міська консультативно-діагностична поліклініка", в т.ч.:</t>
  </si>
  <si>
    <t>Придбання обладнання і предметів довгострокового користування (медичне обладнання) для КНП «Черкаська міська консультативно-діагностична поліклініка»</t>
  </si>
  <si>
    <t>Капітальний ремонт прилеглої території (укладання тротуарної плитки) по бул. Шевченка, 307</t>
  </si>
  <si>
    <t>Капітальний ремонт нежитлової будівлі комунальної власності (художнє освітлення будівлі за адресою вул. Хрещатик, 259)</t>
  </si>
  <si>
    <t>Придбання обладнання  і предметів довгострокового користування (комп'ютерне обладнання, медичне обладнання)  для КНП "Перша Черкаська міська лікарня" з них:</t>
  </si>
  <si>
    <t>на боротьбу з COVID-19</t>
  </si>
  <si>
    <t>Придбання обладнання  і предметів довгострокового користування (комп'ютерне обладнання, сервер,  медичне обладнання) для КНП "Третя Черкаська міська лікарня швидкої медичної допомоги" (за рахунок залишку коштів субвенції на здійснення переданих видатків у сфері охорони здоров’я за рахунок коштів медичної субвенції - 1 199 509,70 грн), з них:</t>
  </si>
  <si>
    <t>КЕКВ</t>
  </si>
  <si>
    <t>Придбання генератора</t>
  </si>
  <si>
    <t>Придбання лампи ЛБВК</t>
  </si>
  <si>
    <t>Придбання конструкцій "Муляж пішохода"</t>
  </si>
  <si>
    <t>Придбання туалету в Парк "Перемоги"</t>
  </si>
  <si>
    <r>
      <t xml:space="preserve">Проведення експертної грошової оцінки земельних ділянок
</t>
    </r>
    <r>
      <rPr>
        <i/>
        <sz val="12"/>
        <rFont val="Times New Roman"/>
        <family val="1"/>
      </rPr>
      <t>Програма розвитку земельних відносин та використання і охорони  земель в м. Черкаси на 2019-2023 роки</t>
    </r>
  </si>
  <si>
    <t>Профінансовано на 31.07.20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</si>
</sst>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  <numFmt numFmtId="211" formatCode="0.00000"/>
    <numFmt numFmtId="212" formatCode="0.0000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4" fillId="0" borderId="0">
      <alignment/>
      <protection/>
    </xf>
    <xf numFmtId="0" fontId="21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2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5" fillId="0" borderId="6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6" fillId="13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209" fontId="3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2" fillId="0" borderId="12" xfId="0" applyNumberFormat="1" applyFont="1" applyFill="1" applyBorder="1" applyAlignment="1" applyProtection="1">
      <alignment horizontal="center"/>
      <protection/>
    </xf>
    <xf numFmtId="0" fontId="32" fillId="0" borderId="12" xfId="0" applyNumberFormat="1" applyFont="1" applyFill="1" applyBorder="1" applyAlignment="1" applyProtection="1">
      <alignment horizontal="center"/>
      <protection/>
    </xf>
    <xf numFmtId="0" fontId="32" fillId="0" borderId="1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2" fillId="0" borderId="0" xfId="0" applyNumberFormat="1" applyFont="1" applyFill="1" applyBorder="1" applyAlignment="1" applyProtection="1">
      <alignment horizontal="center" vertical="top"/>
      <protection/>
    </xf>
    <xf numFmtId="4" fontId="30" fillId="0" borderId="0" xfId="0" applyNumberFormat="1" applyFont="1" applyFill="1" applyBorder="1" applyAlignment="1" applyProtection="1">
      <alignment horizontal="center" vertical="center"/>
      <protection/>
    </xf>
    <xf numFmtId="4" fontId="32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center"/>
      <protection/>
    </xf>
    <xf numFmtId="4" fontId="30" fillId="26" borderId="13" xfId="167" applyNumberFormat="1" applyFont="1" applyFill="1" applyBorder="1" applyAlignment="1">
      <alignment horizontal="center" vertical="center"/>
      <protection/>
    </xf>
    <xf numFmtId="0" fontId="30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49" fontId="32" fillId="0" borderId="12" xfId="0" applyNumberFormat="1" applyFont="1" applyFill="1" applyBorder="1" applyAlignment="1">
      <alignment horizontal="center"/>
    </xf>
    <xf numFmtId="49" fontId="34" fillId="0" borderId="0" xfId="0" applyNumberFormat="1" applyFont="1" applyFill="1" applyAlignment="1" applyProtection="1">
      <alignment/>
      <protection/>
    </xf>
    <xf numFmtId="0" fontId="30" fillId="27" borderId="13" xfId="229" applyFont="1" applyFill="1" applyBorder="1" applyAlignment="1">
      <alignment horizontal="left" vertical="center" wrapText="1"/>
      <protection/>
    </xf>
    <xf numFmtId="4" fontId="30" fillId="27" borderId="13" xfId="167" applyNumberFormat="1" applyFont="1" applyFill="1" applyBorder="1" applyAlignment="1">
      <alignment horizontal="center" vertical="center"/>
      <protection/>
    </xf>
    <xf numFmtId="189" fontId="30" fillId="27" borderId="13" xfId="167" applyNumberFormat="1" applyFont="1" applyFill="1" applyBorder="1" applyAlignment="1">
      <alignment horizontal="center" vertical="center"/>
      <protection/>
    </xf>
    <xf numFmtId="0" fontId="0" fillId="27" borderId="0" xfId="0" applyFont="1" applyFill="1" applyAlignment="1">
      <alignment/>
    </xf>
    <xf numFmtId="4" fontId="32" fillId="27" borderId="13" xfId="167" applyNumberFormat="1" applyFont="1" applyFill="1" applyBorder="1" applyAlignment="1">
      <alignment horizontal="center" vertical="center"/>
      <protection/>
    </xf>
    <xf numFmtId="4" fontId="30" fillId="27" borderId="13" xfId="0" applyNumberFormat="1" applyFont="1" applyFill="1" applyBorder="1" applyAlignment="1">
      <alignment horizontal="center" vertical="center" wrapText="1"/>
    </xf>
    <xf numFmtId="0" fontId="30" fillId="27" borderId="13" xfId="0" applyFont="1" applyFill="1" applyBorder="1" applyAlignment="1">
      <alignment horizontal="center" vertical="center" wrapText="1"/>
    </xf>
    <xf numFmtId="0" fontId="30" fillId="27" borderId="13" xfId="0" applyFont="1" applyFill="1" applyBorder="1" applyAlignment="1">
      <alignment horizontal="left" vertical="center" wrapText="1"/>
    </xf>
    <xf numFmtId="194" fontId="30" fillId="27" borderId="13" xfId="167" applyNumberFormat="1" applyFont="1" applyFill="1" applyBorder="1" applyAlignment="1">
      <alignment horizontal="center" vertical="center"/>
      <protection/>
    </xf>
    <xf numFmtId="185" fontId="30" fillId="27" borderId="13" xfId="167" applyNumberFormat="1" applyFont="1" applyFill="1" applyBorder="1" applyAlignment="1">
      <alignment horizontal="left" vertical="center" wrapText="1"/>
      <protection/>
    </xf>
    <xf numFmtId="0" fontId="30" fillId="27" borderId="13" xfId="228" applyFont="1" applyFill="1" applyBorder="1" applyAlignment="1">
      <alignment horizontal="left" vertical="top" wrapText="1"/>
      <protection/>
    </xf>
    <xf numFmtId="0" fontId="30" fillId="27" borderId="13" xfId="0" applyFont="1" applyFill="1" applyBorder="1" applyAlignment="1">
      <alignment horizontal="left" vertical="top" wrapText="1"/>
    </xf>
    <xf numFmtId="0" fontId="0" fillId="28" borderId="0" xfId="0" applyFont="1" applyFill="1" applyAlignment="1">
      <alignment/>
    </xf>
    <xf numFmtId="194" fontId="32" fillId="27" borderId="13" xfId="167" applyNumberFormat="1" applyFont="1" applyFill="1" applyBorder="1" applyAlignment="1">
      <alignment horizontal="center" vertical="center"/>
      <protection/>
    </xf>
    <xf numFmtId="186" fontId="30" fillId="27" borderId="13" xfId="167" applyNumberFormat="1" applyFont="1" applyFill="1" applyBorder="1" applyAlignment="1">
      <alignment horizontal="center" vertical="center"/>
      <protection/>
    </xf>
    <xf numFmtId="185" fontId="30" fillId="27" borderId="13" xfId="0" applyNumberFormat="1" applyFont="1" applyFill="1" applyBorder="1" applyAlignment="1">
      <alignment horizontal="center" vertical="center" wrapText="1"/>
    </xf>
    <xf numFmtId="185" fontId="30" fillId="27" borderId="13" xfId="0" applyNumberFormat="1" applyFont="1" applyFill="1" applyBorder="1" applyAlignment="1" applyProtection="1">
      <alignment horizontal="center" vertical="center"/>
      <protection/>
    </xf>
    <xf numFmtId="10" fontId="30" fillId="27" borderId="13" xfId="0" applyNumberFormat="1" applyFont="1" applyFill="1" applyBorder="1" applyAlignment="1">
      <alignment horizontal="center" vertical="center" wrapText="1"/>
    </xf>
    <xf numFmtId="186" fontId="30" fillId="27" borderId="13" xfId="0" applyNumberFormat="1" applyFont="1" applyFill="1" applyBorder="1" applyAlignment="1">
      <alignment horizontal="center" vertical="center" wrapText="1"/>
    </xf>
    <xf numFmtId="186" fontId="30" fillId="27" borderId="13" xfId="0" applyNumberFormat="1" applyFont="1" applyFill="1" applyBorder="1" applyAlignment="1">
      <alignment horizontal="center" vertical="center"/>
    </xf>
    <xf numFmtId="4" fontId="32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2" fillId="27" borderId="13" xfId="0" applyNumberFormat="1" applyFont="1" applyFill="1" applyBorder="1" applyAlignment="1">
      <alignment horizontal="center" vertical="center" wrapText="1"/>
    </xf>
    <xf numFmtId="186" fontId="32" fillId="27" borderId="13" xfId="0" applyNumberFormat="1" applyFont="1" applyFill="1" applyBorder="1" applyAlignment="1">
      <alignment horizontal="center" vertical="center" wrapText="1"/>
    </xf>
    <xf numFmtId="185" fontId="32" fillId="27" borderId="13" xfId="0" applyNumberFormat="1" applyFont="1" applyFill="1" applyBorder="1" applyAlignment="1">
      <alignment horizontal="center" vertical="center" wrapText="1"/>
    </xf>
    <xf numFmtId="0" fontId="30" fillId="27" borderId="13" xfId="0" applyNumberFormat="1" applyFont="1" applyFill="1" applyBorder="1" applyAlignment="1">
      <alignment horizontal="center" vertical="center" wrapText="1"/>
    </xf>
    <xf numFmtId="0" fontId="32" fillId="27" borderId="13" xfId="232" applyFont="1" applyFill="1" applyBorder="1" applyAlignment="1">
      <alignment horizontal="left" vertical="center" wrapText="1"/>
      <protection/>
    </xf>
    <xf numFmtId="0" fontId="30" fillId="27" borderId="13" xfId="232" applyFont="1" applyFill="1" applyBorder="1" applyAlignment="1">
      <alignment horizontal="left" vertical="center" wrapText="1"/>
      <protection/>
    </xf>
    <xf numFmtId="0" fontId="32" fillId="27" borderId="13" xfId="229" applyFont="1" applyFill="1" applyBorder="1" applyAlignment="1">
      <alignment horizontal="left" vertical="center" wrapText="1"/>
      <protection/>
    </xf>
    <xf numFmtId="2" fontId="30" fillId="27" borderId="13" xfId="0" applyNumberFormat="1" applyFont="1" applyFill="1" applyBorder="1" applyAlignment="1">
      <alignment horizontal="center" vertical="center" wrapText="1"/>
    </xf>
    <xf numFmtId="185" fontId="32" fillId="27" borderId="13" xfId="167" applyNumberFormat="1" applyFont="1" applyFill="1" applyBorder="1" applyAlignment="1">
      <alignment horizontal="left" vertical="center" wrapText="1"/>
      <protection/>
    </xf>
    <xf numFmtId="185" fontId="30" fillId="27" borderId="13" xfId="167" applyNumberFormat="1" applyFont="1" applyFill="1" applyBorder="1" applyAlignment="1">
      <alignment horizontal="center" vertical="center"/>
      <protection/>
    </xf>
    <xf numFmtId="0" fontId="30" fillId="27" borderId="13" xfId="0" applyNumberFormat="1" applyFont="1" applyFill="1" applyBorder="1" applyAlignment="1" applyProtection="1">
      <alignment horizontal="center"/>
      <protection/>
    </xf>
    <xf numFmtId="4" fontId="30" fillId="27" borderId="13" xfId="0" applyNumberFormat="1" applyFont="1" applyFill="1" applyBorder="1" applyAlignment="1" applyProtection="1">
      <alignment horizontal="center"/>
      <protection/>
    </xf>
    <xf numFmtId="186" fontId="30" fillId="27" borderId="13" xfId="0" applyNumberFormat="1" applyFont="1" applyFill="1" applyBorder="1" applyAlignment="1" applyProtection="1">
      <alignment horizontal="center"/>
      <protection/>
    </xf>
    <xf numFmtId="0" fontId="30" fillId="27" borderId="13" xfId="167" applyNumberFormat="1" applyFont="1" applyFill="1" applyBorder="1" applyAlignment="1">
      <alignment horizontal="center" vertical="center"/>
      <protection/>
    </xf>
    <xf numFmtId="1" fontId="30" fillId="27" borderId="13" xfId="0" applyNumberFormat="1" applyFont="1" applyFill="1" applyBorder="1" applyAlignment="1">
      <alignment horizontal="center" vertical="center" wrapText="1"/>
    </xf>
    <xf numFmtId="4" fontId="30" fillId="27" borderId="13" xfId="0" applyNumberFormat="1" applyFont="1" applyFill="1" applyBorder="1" applyAlignment="1">
      <alignment horizontal="left" vertical="top" wrapText="1"/>
    </xf>
    <xf numFmtId="189" fontId="30" fillId="27" borderId="13" xfId="0" applyNumberFormat="1" applyFont="1" applyFill="1" applyBorder="1" applyAlignment="1" applyProtection="1">
      <alignment horizontal="center" vertical="center"/>
      <protection/>
    </xf>
    <xf numFmtId="1" fontId="30" fillId="27" borderId="13" xfId="167" applyNumberFormat="1" applyFont="1" applyFill="1" applyBorder="1" applyAlignment="1">
      <alignment horizontal="center" vertical="center"/>
      <protection/>
    </xf>
    <xf numFmtId="0" fontId="30" fillId="27" borderId="13" xfId="0" applyFont="1" applyFill="1" applyBorder="1" applyAlignment="1">
      <alignment horizontal="center" vertical="center"/>
    </xf>
    <xf numFmtId="186" fontId="30" fillId="27" borderId="13" xfId="167" applyNumberFormat="1" applyFont="1" applyFill="1" applyBorder="1" applyAlignment="1">
      <alignment horizontal="left" vertical="center" wrapText="1"/>
      <protection/>
    </xf>
    <xf numFmtId="4" fontId="32" fillId="27" borderId="13" xfId="167" applyNumberFormat="1" applyFont="1" applyFill="1" applyBorder="1" applyAlignment="1">
      <alignment horizontal="center" vertical="center" wrapText="1"/>
      <protection/>
    </xf>
    <xf numFmtId="0" fontId="30" fillId="27" borderId="13" xfId="230" applyFont="1" applyFill="1" applyBorder="1" applyAlignment="1">
      <alignment horizontal="left" vertical="top" wrapText="1"/>
      <protection/>
    </xf>
    <xf numFmtId="0" fontId="30" fillId="27" borderId="13" xfId="0" applyFont="1" applyFill="1" applyBorder="1" applyAlignment="1">
      <alignment wrapText="1"/>
    </xf>
    <xf numFmtId="0" fontId="30" fillId="27" borderId="13" xfId="0" applyFont="1" applyFill="1" applyBorder="1" applyAlignment="1">
      <alignment vertical="top" wrapText="1"/>
    </xf>
    <xf numFmtId="191" fontId="30" fillId="27" borderId="13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center"/>
      <protection/>
    </xf>
    <xf numFmtId="49" fontId="38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49" fontId="33" fillId="0" borderId="0" xfId="0" applyNumberFormat="1" applyFont="1" applyFill="1" applyBorder="1" applyAlignment="1" applyProtection="1">
      <alignment horizontal="center"/>
      <protection/>
    </xf>
    <xf numFmtId="186" fontId="33" fillId="0" borderId="0" xfId="0" applyNumberFormat="1" applyFont="1" applyFill="1" applyBorder="1" applyAlignment="1" applyProtection="1">
      <alignment horizontal="center"/>
      <protection/>
    </xf>
    <xf numFmtId="4" fontId="33" fillId="0" borderId="0" xfId="0" applyNumberFormat="1" applyFont="1" applyFill="1" applyBorder="1" applyAlignment="1" applyProtection="1">
      <alignment horizontal="center"/>
      <protection/>
    </xf>
    <xf numFmtId="185" fontId="33" fillId="0" borderId="0" xfId="0" applyNumberFormat="1" applyFont="1" applyFill="1" applyBorder="1" applyAlignment="1" applyProtection="1">
      <alignment/>
      <protection/>
    </xf>
    <xf numFmtId="49" fontId="33" fillId="0" borderId="13" xfId="0" applyNumberFormat="1" applyFont="1" applyFill="1" applyBorder="1" applyAlignment="1" applyProtection="1">
      <alignment horizontal="center"/>
      <protection/>
    </xf>
    <xf numFmtId="186" fontId="33" fillId="0" borderId="13" xfId="0" applyNumberFormat="1" applyFont="1" applyFill="1" applyBorder="1" applyAlignment="1" applyProtection="1">
      <alignment horizontal="center"/>
      <protection/>
    </xf>
    <xf numFmtId="4" fontId="33" fillId="0" borderId="13" xfId="0" applyNumberFormat="1" applyFont="1" applyFill="1" applyBorder="1" applyAlignment="1" applyProtection="1">
      <alignment horizontal="center"/>
      <protection/>
    </xf>
    <xf numFmtId="185" fontId="33" fillId="0" borderId="13" xfId="0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/>
    </xf>
    <xf numFmtId="4" fontId="32" fillId="0" borderId="13" xfId="0" applyNumberFormat="1" applyFont="1" applyFill="1" applyBorder="1" applyAlignment="1">
      <alignment horizontal="center" vertical="center"/>
    </xf>
    <xf numFmtId="4" fontId="32" fillId="26" borderId="13" xfId="0" applyNumberFormat="1" applyFont="1" applyFill="1" applyBorder="1" applyAlignment="1">
      <alignment horizontal="center" vertical="center"/>
    </xf>
    <xf numFmtId="0" fontId="33" fillId="0" borderId="13" xfId="0" applyNumberFormat="1" applyFont="1" applyFill="1" applyBorder="1" applyAlignment="1" applyProtection="1">
      <alignment/>
      <protection/>
    </xf>
    <xf numFmtId="4" fontId="0" fillId="0" borderId="13" xfId="0" applyNumberFormat="1" applyFont="1" applyFill="1" applyBorder="1" applyAlignment="1">
      <alignment/>
    </xf>
    <xf numFmtId="0" fontId="33" fillId="0" borderId="13" xfId="0" applyNumberFormat="1" applyFont="1" applyFill="1" applyBorder="1" applyAlignment="1">
      <alignment horizontal="center" vertical="center"/>
    </xf>
    <xf numFmtId="4" fontId="40" fillId="0" borderId="13" xfId="0" applyNumberFormat="1" applyFont="1" applyFill="1" applyBorder="1" applyAlignment="1">
      <alignment horizontal="center" vertical="center" wrapText="1" shrinkToFit="1"/>
    </xf>
    <xf numFmtId="4" fontId="33" fillId="24" borderId="13" xfId="0" applyNumberFormat="1" applyFont="1" applyFill="1" applyBorder="1" applyAlignment="1">
      <alignment horizontal="center" vertical="center" wrapText="1" shrinkToFit="1"/>
    </xf>
    <xf numFmtId="4" fontId="33" fillId="0" borderId="13" xfId="0" applyNumberFormat="1" applyFont="1" applyFill="1" applyBorder="1" applyAlignment="1">
      <alignment horizontal="center" vertical="center" wrapText="1" shrinkToFit="1"/>
    </xf>
    <xf numFmtId="4" fontId="0" fillId="0" borderId="0" xfId="0" applyNumberFormat="1" applyFont="1" applyFill="1" applyAlignment="1">
      <alignment/>
    </xf>
    <xf numFmtId="4" fontId="32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center"/>
      <protection/>
    </xf>
    <xf numFmtId="49" fontId="33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4" fontId="32" fillId="0" borderId="14" xfId="0" applyNumberFormat="1" applyFont="1" applyFill="1" applyBorder="1" applyAlignment="1">
      <alignment horizontal="center" vertical="center" wrapText="1"/>
    </xf>
    <xf numFmtId="4" fontId="30" fillId="26" borderId="14" xfId="167" applyNumberFormat="1" applyFont="1" applyFill="1" applyBorder="1" applyAlignment="1">
      <alignment horizontal="center" vertical="center"/>
      <protection/>
    </xf>
    <xf numFmtId="4" fontId="33" fillId="24" borderId="14" xfId="0" applyNumberFormat="1" applyFont="1" applyFill="1" applyBorder="1" applyAlignment="1">
      <alignment horizontal="center" vertical="center" wrapText="1" shrinkToFit="1"/>
    </xf>
    <xf numFmtId="4" fontId="40" fillId="0" borderId="0" xfId="0" applyNumberFormat="1" applyFont="1" applyFill="1" applyAlignment="1" applyProtection="1">
      <alignment horizontal="center"/>
      <protection/>
    </xf>
    <xf numFmtId="0" fontId="41" fillId="27" borderId="13" xfId="229" applyFont="1" applyFill="1" applyBorder="1" applyAlignment="1">
      <alignment horizontal="center" vertical="center" wrapText="1"/>
      <protection/>
    </xf>
    <xf numFmtId="0" fontId="41" fillId="27" borderId="13" xfId="0" applyFont="1" applyFill="1" applyBorder="1" applyAlignment="1">
      <alignment horizontal="center" vertical="center" wrapText="1"/>
    </xf>
    <xf numFmtId="0" fontId="42" fillId="27" borderId="13" xfId="0" applyFont="1" applyFill="1" applyBorder="1" applyAlignment="1">
      <alignment horizontal="center" vertical="center" wrapText="1"/>
    </xf>
    <xf numFmtId="185" fontId="41" fillId="27" borderId="13" xfId="167" applyNumberFormat="1" applyFont="1" applyFill="1" applyBorder="1" applyAlignment="1">
      <alignment horizontal="center" vertical="center" wrapText="1"/>
      <protection/>
    </xf>
    <xf numFmtId="0" fontId="30" fillId="27" borderId="13" xfId="233" applyFont="1" applyFill="1" applyBorder="1" applyAlignment="1">
      <alignment horizontal="left" vertical="top" wrapText="1"/>
      <protection/>
    </xf>
    <xf numFmtId="0" fontId="30" fillId="27" borderId="13" xfId="231" applyFont="1" applyFill="1" applyBorder="1" applyAlignment="1">
      <alignment horizontal="left" vertical="center" wrapText="1"/>
      <protection/>
    </xf>
    <xf numFmtId="0" fontId="30" fillId="27" borderId="13" xfId="0" applyFont="1" applyFill="1" applyBorder="1" applyAlignment="1">
      <alignment vertical="center" wrapText="1"/>
    </xf>
    <xf numFmtId="0" fontId="30" fillId="27" borderId="13" xfId="0" applyFont="1" applyFill="1" applyBorder="1" applyAlignment="1">
      <alignment/>
    </xf>
    <xf numFmtId="4" fontId="30" fillId="0" borderId="0" xfId="0" applyNumberFormat="1" applyFont="1" applyFill="1" applyAlignment="1">
      <alignment vertical="center"/>
    </xf>
    <xf numFmtId="0" fontId="30" fillId="27" borderId="13" xfId="0" applyFont="1" applyFill="1" applyBorder="1" applyAlignment="1">
      <alignment horizontal="justify" vertical="center" wrapText="1"/>
    </xf>
    <xf numFmtId="49" fontId="33" fillId="24" borderId="14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left"/>
    </xf>
    <xf numFmtId="49" fontId="32" fillId="27" borderId="13" xfId="0" applyNumberFormat="1" applyFont="1" applyFill="1" applyBorder="1" applyAlignment="1">
      <alignment horizontal="center" vertical="top" wrapText="1"/>
    </xf>
    <xf numFmtId="49" fontId="32" fillId="27" borderId="13" xfId="0" applyNumberFormat="1" applyFont="1" applyFill="1" applyBorder="1" applyAlignment="1" applyProtection="1">
      <alignment horizontal="center" vertical="top" wrapText="1"/>
      <protection/>
    </xf>
    <xf numFmtId="0" fontId="32" fillId="27" borderId="13" xfId="0" applyFont="1" applyFill="1" applyBorder="1" applyAlignment="1">
      <alignment horizontal="center" vertical="top" wrapText="1"/>
    </xf>
    <xf numFmtId="0" fontId="32" fillId="27" borderId="13" xfId="0" applyNumberFormat="1" applyFont="1" applyFill="1" applyBorder="1" applyAlignment="1" applyProtection="1">
      <alignment horizontal="center" vertical="top" wrapText="1"/>
      <protection/>
    </xf>
    <xf numFmtId="0" fontId="32" fillId="27" borderId="13" xfId="0" applyFont="1" applyFill="1" applyBorder="1" applyAlignment="1">
      <alignment horizontal="center" vertical="center" wrapText="1"/>
    </xf>
    <xf numFmtId="0" fontId="32" fillId="27" borderId="13" xfId="0" applyNumberFormat="1" applyFont="1" applyFill="1" applyBorder="1" applyAlignment="1" applyProtection="1">
      <alignment horizontal="center" vertical="top"/>
      <protection/>
    </xf>
    <xf numFmtId="49" fontId="32" fillId="27" borderId="13" xfId="0" applyNumberFormat="1" applyFont="1" applyFill="1" applyBorder="1" applyAlignment="1" applyProtection="1">
      <alignment horizontal="center" vertical="center"/>
      <protection/>
    </xf>
    <xf numFmtId="49" fontId="32" fillId="27" borderId="13" xfId="0" applyNumberFormat="1" applyFont="1" applyFill="1" applyBorder="1" applyAlignment="1" applyProtection="1">
      <alignment horizontal="center"/>
      <protection/>
    </xf>
    <xf numFmtId="49" fontId="32" fillId="27" borderId="13" xfId="0" applyNumberFormat="1" applyFont="1" applyFill="1" applyBorder="1" applyAlignment="1" applyProtection="1">
      <alignment horizontal="center" vertical="center" wrapText="1"/>
      <protection/>
    </xf>
    <xf numFmtId="0" fontId="32" fillId="27" borderId="13" xfId="0" applyNumberFormat="1" applyFont="1" applyFill="1" applyBorder="1" applyAlignment="1" applyProtection="1">
      <alignment horizontal="center" vertical="center" wrapText="1"/>
      <protection/>
    </xf>
    <xf numFmtId="194" fontId="30" fillId="27" borderId="13" xfId="0" applyNumberFormat="1" applyFont="1" applyFill="1" applyBorder="1" applyAlignment="1">
      <alignment horizontal="center" vertical="center" wrapText="1"/>
    </xf>
    <xf numFmtId="0" fontId="32" fillId="27" borderId="13" xfId="0" applyNumberFormat="1" applyFont="1" applyFill="1" applyBorder="1" applyAlignment="1" applyProtection="1">
      <alignment/>
      <protection/>
    </xf>
    <xf numFmtId="49" fontId="32" fillId="27" borderId="13" xfId="0" applyNumberFormat="1" applyFont="1" applyFill="1" applyBorder="1" applyAlignment="1" applyProtection="1">
      <alignment/>
      <protection/>
    </xf>
    <xf numFmtId="4" fontId="0" fillId="27" borderId="13" xfId="0" applyNumberFormat="1" applyFont="1" applyFill="1" applyBorder="1" applyAlignment="1" applyProtection="1">
      <alignment horizontal="center"/>
      <protection/>
    </xf>
    <xf numFmtId="0" fontId="41" fillId="27" borderId="13" xfId="228" applyFont="1" applyFill="1" applyBorder="1" applyAlignment="1">
      <alignment horizontal="center" vertical="center" wrapText="1"/>
      <protection/>
    </xf>
    <xf numFmtId="0" fontId="30" fillId="27" borderId="13" xfId="0" applyNumberFormat="1" applyFont="1" applyFill="1" applyBorder="1" applyAlignment="1" applyProtection="1">
      <alignment/>
      <protection/>
    </xf>
    <xf numFmtId="186" fontId="30" fillId="27" borderId="13" xfId="0" applyNumberFormat="1" applyFont="1" applyFill="1" applyBorder="1" applyAlignment="1" applyProtection="1">
      <alignment/>
      <protection/>
    </xf>
    <xf numFmtId="0" fontId="0" fillId="27" borderId="13" xfId="0" applyFont="1" applyFill="1" applyBorder="1" applyAlignment="1">
      <alignment/>
    </xf>
    <xf numFmtId="0" fontId="42" fillId="27" borderId="13" xfId="232" applyFont="1" applyFill="1" applyBorder="1" applyAlignment="1">
      <alignment horizontal="center" vertical="center" wrapText="1"/>
      <protection/>
    </xf>
    <xf numFmtId="0" fontId="41" fillId="27" borderId="13" xfId="232" applyFont="1" applyFill="1" applyBorder="1" applyAlignment="1">
      <alignment horizontal="center" vertical="center" wrapText="1"/>
      <protection/>
    </xf>
    <xf numFmtId="49" fontId="42" fillId="27" borderId="13" xfId="0" applyNumberFormat="1" applyFont="1" applyFill="1" applyBorder="1" applyAlignment="1" applyProtection="1">
      <alignment horizontal="center" vertical="center"/>
      <protection/>
    </xf>
    <xf numFmtId="186" fontId="32" fillId="27" borderId="13" xfId="0" applyNumberFormat="1" applyFont="1" applyFill="1" applyBorder="1" applyAlignment="1" applyProtection="1">
      <alignment horizontal="center" vertical="center"/>
      <protection/>
    </xf>
    <xf numFmtId="4" fontId="32" fillId="27" borderId="13" xfId="0" applyNumberFormat="1" applyFont="1" applyFill="1" applyBorder="1" applyAlignment="1" applyProtection="1">
      <alignment horizontal="center" vertical="center"/>
      <protection/>
    </xf>
    <xf numFmtId="0" fontId="0" fillId="27" borderId="0" xfId="0" applyFont="1" applyFill="1" applyBorder="1" applyAlignment="1">
      <alignment/>
    </xf>
    <xf numFmtId="0" fontId="41" fillId="27" borderId="13" xfId="233" applyFont="1" applyFill="1" applyBorder="1" applyAlignment="1">
      <alignment horizontal="center" vertical="center" wrapText="1"/>
      <protection/>
    </xf>
    <xf numFmtId="4" fontId="30" fillId="27" borderId="13" xfId="0" applyNumberFormat="1" applyFont="1" applyFill="1" applyBorder="1" applyAlignment="1">
      <alignment horizontal="center" vertical="center"/>
    </xf>
    <xf numFmtId="4" fontId="30" fillId="27" borderId="13" xfId="0" applyNumberFormat="1" applyFont="1" applyFill="1" applyBorder="1" applyAlignment="1" applyProtection="1">
      <alignment horizontal="center" vertical="center"/>
      <protection/>
    </xf>
    <xf numFmtId="0" fontId="42" fillId="27" borderId="13" xfId="229" applyFont="1" applyFill="1" applyBorder="1" applyAlignment="1">
      <alignment horizontal="center" vertical="center" wrapText="1"/>
      <protection/>
    </xf>
    <xf numFmtId="0" fontId="41" fillId="27" borderId="13" xfId="230" applyFont="1" applyFill="1" applyBorder="1" applyAlignment="1">
      <alignment horizontal="center" vertical="center" wrapText="1"/>
      <protection/>
    </xf>
    <xf numFmtId="4" fontId="30" fillId="27" borderId="0" xfId="167" applyNumberFormat="1" applyFont="1" applyFill="1" applyBorder="1" applyAlignment="1">
      <alignment horizontal="center" vertical="center"/>
      <protection/>
    </xf>
    <xf numFmtId="186" fontId="30" fillId="27" borderId="13" xfId="0" applyNumberFormat="1" applyFont="1" applyFill="1" applyBorder="1" applyAlignment="1">
      <alignment horizontal="left" vertical="center" wrapText="1"/>
    </xf>
    <xf numFmtId="4" fontId="41" fillId="27" borderId="13" xfId="0" applyNumberFormat="1" applyFont="1" applyFill="1" applyBorder="1" applyAlignment="1">
      <alignment horizontal="center" vertical="center" wrapText="1"/>
    </xf>
    <xf numFmtId="185" fontId="42" fillId="27" borderId="13" xfId="167" applyNumberFormat="1" applyFont="1" applyFill="1" applyBorder="1" applyAlignment="1">
      <alignment horizontal="center" vertical="center" wrapText="1"/>
      <protection/>
    </xf>
    <xf numFmtId="185" fontId="32" fillId="27" borderId="13" xfId="167" applyNumberFormat="1" applyFont="1" applyFill="1" applyBorder="1" applyAlignment="1">
      <alignment horizontal="center" vertical="center" wrapText="1"/>
      <protection/>
    </xf>
    <xf numFmtId="49" fontId="33" fillId="27" borderId="13" xfId="0" applyNumberFormat="1" applyFont="1" applyFill="1" applyBorder="1" applyAlignment="1" applyProtection="1">
      <alignment horizontal="center" vertical="center"/>
      <protection/>
    </xf>
    <xf numFmtId="186" fontId="33" fillId="27" borderId="13" xfId="0" applyNumberFormat="1" applyFont="1" applyFill="1" applyBorder="1" applyAlignment="1" applyProtection="1">
      <alignment horizontal="center"/>
      <protection/>
    </xf>
    <xf numFmtId="4" fontId="33" fillId="27" borderId="13" xfId="0" applyNumberFormat="1" applyFont="1" applyFill="1" applyBorder="1" applyAlignment="1" applyProtection="1">
      <alignment horizontal="center"/>
      <protection/>
    </xf>
    <xf numFmtId="49" fontId="38" fillId="27" borderId="13" xfId="0" applyNumberFormat="1" applyFont="1" applyFill="1" applyBorder="1" applyAlignment="1" applyProtection="1">
      <alignment horizontal="center" vertical="center"/>
      <protection/>
    </xf>
    <xf numFmtId="0" fontId="0" fillId="27" borderId="13" xfId="0" applyNumberFormat="1" applyFont="1" applyFill="1" applyBorder="1" applyAlignment="1" applyProtection="1">
      <alignment/>
      <protection/>
    </xf>
    <xf numFmtId="0" fontId="34" fillId="27" borderId="13" xfId="0" applyNumberFormat="1" applyFont="1" applyFill="1" applyBorder="1" applyAlignment="1" applyProtection="1">
      <alignment/>
      <protection/>
    </xf>
    <xf numFmtId="0" fontId="33" fillId="27" borderId="13" xfId="0" applyNumberFormat="1" applyFont="1" applyFill="1" applyBorder="1" applyAlignment="1" applyProtection="1">
      <alignment horizontal="left" vertical="center" wrapText="1"/>
      <protection/>
    </xf>
    <xf numFmtId="0" fontId="33" fillId="27" borderId="13" xfId="0" applyNumberFormat="1" applyFont="1" applyFill="1" applyBorder="1" applyAlignment="1" applyProtection="1">
      <alignment horizontal="center" vertical="center" wrapText="1"/>
      <protection/>
    </xf>
    <xf numFmtId="49" fontId="33" fillId="27" borderId="13" xfId="0" applyNumberFormat="1" applyFont="1" applyFill="1" applyBorder="1" applyAlignment="1" applyProtection="1">
      <alignment horizontal="center"/>
      <protection/>
    </xf>
    <xf numFmtId="185" fontId="33" fillId="27" borderId="13" xfId="0" applyNumberFormat="1" applyFont="1" applyFill="1" applyBorder="1" applyAlignment="1" applyProtection="1">
      <alignment/>
      <protection/>
    </xf>
    <xf numFmtId="0" fontId="33" fillId="27" borderId="13" xfId="0" applyNumberFormat="1" applyFont="1" applyFill="1" applyBorder="1" applyAlignment="1" applyProtection="1">
      <alignment wrapText="1"/>
      <protection/>
    </xf>
    <xf numFmtId="0" fontId="40" fillId="27" borderId="13" xfId="0" applyNumberFormat="1" applyFont="1" applyFill="1" applyBorder="1" applyAlignment="1" applyProtection="1">
      <alignment wrapText="1"/>
      <protection/>
    </xf>
    <xf numFmtId="0" fontId="40" fillId="27" borderId="13" xfId="0" applyNumberFormat="1" applyFont="1" applyFill="1" applyBorder="1" applyAlignment="1" applyProtection="1">
      <alignment horizontal="center" vertical="center" wrapText="1"/>
      <protection/>
    </xf>
    <xf numFmtId="49" fontId="33" fillId="27" borderId="0" xfId="0" applyNumberFormat="1" applyFont="1" applyFill="1" applyBorder="1" applyAlignment="1" applyProtection="1">
      <alignment horizontal="center"/>
      <protection/>
    </xf>
    <xf numFmtId="49" fontId="33" fillId="27" borderId="0" xfId="0" applyNumberFormat="1" applyFont="1" applyFill="1" applyBorder="1" applyAlignment="1" applyProtection="1">
      <alignment horizontal="center" vertical="center"/>
      <protection/>
    </xf>
    <xf numFmtId="186" fontId="33" fillId="27" borderId="0" xfId="0" applyNumberFormat="1" applyFont="1" applyFill="1" applyBorder="1" applyAlignment="1" applyProtection="1">
      <alignment horizontal="center"/>
      <protection/>
    </xf>
    <xf numFmtId="4" fontId="33" fillId="27" borderId="0" xfId="0" applyNumberFormat="1" applyFont="1" applyFill="1" applyBorder="1" applyAlignment="1" applyProtection="1">
      <alignment horizontal="center"/>
      <protection/>
    </xf>
    <xf numFmtId="185" fontId="33" fillId="27" borderId="0" xfId="0" applyNumberFormat="1" applyFont="1" applyFill="1" applyBorder="1" applyAlignment="1" applyProtection="1">
      <alignment/>
      <protection/>
    </xf>
    <xf numFmtId="194" fontId="40" fillId="27" borderId="0" xfId="0" applyNumberFormat="1" applyFont="1" applyFill="1" applyAlignment="1">
      <alignment/>
    </xf>
    <xf numFmtId="4" fontId="0" fillId="27" borderId="0" xfId="0" applyNumberFormat="1" applyFont="1" applyFill="1" applyAlignment="1">
      <alignment/>
    </xf>
    <xf numFmtId="49" fontId="33" fillId="0" borderId="15" xfId="0" applyNumberFormat="1" applyFont="1" applyFill="1" applyBorder="1" applyAlignment="1">
      <alignment horizontal="left"/>
    </xf>
    <xf numFmtId="49" fontId="33" fillId="0" borderId="16" xfId="0" applyNumberFormat="1" applyFont="1" applyFill="1" applyBorder="1" applyAlignment="1">
      <alignment horizontal="left"/>
    </xf>
    <xf numFmtId="49" fontId="33" fillId="0" borderId="14" xfId="0" applyNumberFormat="1" applyFont="1" applyFill="1" applyBorder="1" applyAlignment="1">
      <alignment horizontal="left"/>
    </xf>
    <xf numFmtId="0" fontId="32" fillId="27" borderId="17" xfId="0" applyNumberFormat="1" applyFont="1" applyFill="1" applyBorder="1" applyAlignment="1" applyProtection="1">
      <alignment horizontal="center" vertical="top" wrapText="1"/>
      <protection/>
    </xf>
    <xf numFmtId="0" fontId="32" fillId="27" borderId="18" xfId="0" applyNumberFormat="1" applyFont="1" applyFill="1" applyBorder="1" applyAlignment="1" applyProtection="1">
      <alignment horizontal="center" vertical="top" wrapText="1"/>
      <protection/>
    </xf>
    <xf numFmtId="0" fontId="32" fillId="27" borderId="19" xfId="0" applyNumberFormat="1" applyFont="1" applyFill="1" applyBorder="1" applyAlignment="1" applyProtection="1">
      <alignment horizontal="center" vertical="top" wrapText="1"/>
      <protection/>
    </xf>
    <xf numFmtId="49" fontId="32" fillId="27" borderId="17" xfId="0" applyNumberFormat="1" applyFont="1" applyFill="1" applyBorder="1" applyAlignment="1" applyProtection="1">
      <alignment horizontal="center" vertical="top" wrapText="1"/>
      <protection/>
    </xf>
    <xf numFmtId="49" fontId="32" fillId="27" borderId="18" xfId="0" applyNumberFormat="1" applyFont="1" applyFill="1" applyBorder="1" applyAlignment="1" applyProtection="1">
      <alignment horizontal="center" vertical="top" wrapText="1"/>
      <protection/>
    </xf>
    <xf numFmtId="49" fontId="32" fillId="27" borderId="19" xfId="0" applyNumberFormat="1" applyFont="1" applyFill="1" applyBorder="1" applyAlignment="1" applyProtection="1">
      <alignment horizontal="center" vertical="top" wrapText="1"/>
      <protection/>
    </xf>
    <xf numFmtId="49" fontId="32" fillId="27" borderId="13" xfId="0" applyNumberFormat="1" applyFont="1" applyFill="1" applyBorder="1" applyAlignment="1" applyProtection="1">
      <alignment horizontal="center" vertical="top" wrapText="1"/>
      <protection/>
    </xf>
    <xf numFmtId="0" fontId="32" fillId="27" borderId="13" xfId="0" applyNumberFormat="1" applyFont="1" applyFill="1" applyBorder="1" applyAlignment="1" applyProtection="1">
      <alignment horizontal="center" vertical="top" wrapText="1"/>
      <protection/>
    </xf>
    <xf numFmtId="49" fontId="32" fillId="27" borderId="13" xfId="0" applyNumberFormat="1" applyFont="1" applyFill="1" applyBorder="1" applyAlignment="1" applyProtection="1">
      <alignment horizontal="center" vertical="top"/>
      <protection/>
    </xf>
    <xf numFmtId="0" fontId="32" fillId="27" borderId="13" xfId="0" applyNumberFormat="1" applyFont="1" applyFill="1" applyBorder="1" applyAlignment="1" applyProtection="1">
      <alignment horizontal="center" vertical="top"/>
      <protection/>
    </xf>
    <xf numFmtId="49" fontId="32" fillId="27" borderId="17" xfId="0" applyNumberFormat="1" applyFont="1" applyFill="1" applyBorder="1" applyAlignment="1" applyProtection="1">
      <alignment horizontal="center" vertical="top"/>
      <protection/>
    </xf>
    <xf numFmtId="49" fontId="32" fillId="27" borderId="18" xfId="0" applyNumberFormat="1" applyFont="1" applyFill="1" applyBorder="1" applyAlignment="1" applyProtection="1">
      <alignment horizontal="center" vertical="top"/>
      <protection/>
    </xf>
    <xf numFmtId="49" fontId="32" fillId="27" borderId="19" xfId="0" applyNumberFormat="1" applyFont="1" applyFill="1" applyBorder="1" applyAlignment="1" applyProtection="1">
      <alignment horizontal="center" vertical="top"/>
      <protection/>
    </xf>
    <xf numFmtId="49" fontId="32" fillId="27" borderId="17" xfId="0" applyNumberFormat="1" applyFont="1" applyFill="1" applyBorder="1" applyAlignment="1">
      <alignment horizontal="center" vertical="top" wrapText="1"/>
    </xf>
    <xf numFmtId="49" fontId="32" fillId="27" borderId="18" xfId="0" applyNumberFormat="1" applyFont="1" applyFill="1" applyBorder="1" applyAlignment="1">
      <alignment horizontal="center" vertical="top" wrapText="1"/>
    </xf>
    <xf numFmtId="49" fontId="32" fillId="27" borderId="19" xfId="0" applyNumberFormat="1" applyFont="1" applyFill="1" applyBorder="1" applyAlignment="1">
      <alignment horizontal="center" vertical="top" wrapText="1"/>
    </xf>
    <xf numFmtId="0" fontId="32" fillId="27" borderId="17" xfId="0" applyFont="1" applyFill="1" applyBorder="1" applyAlignment="1">
      <alignment horizontal="center" vertical="top" wrapText="1"/>
    </xf>
    <xf numFmtId="0" fontId="32" fillId="27" borderId="18" xfId="0" applyFont="1" applyFill="1" applyBorder="1" applyAlignment="1">
      <alignment horizontal="center" vertical="top" wrapText="1"/>
    </xf>
    <xf numFmtId="0" fontId="32" fillId="27" borderId="19" xfId="0" applyFont="1" applyFill="1" applyBorder="1" applyAlignment="1">
      <alignment horizontal="center" vertical="top" wrapText="1"/>
    </xf>
    <xf numFmtId="0" fontId="32" fillId="27" borderId="13" xfId="0" applyFont="1" applyFill="1" applyBorder="1" applyAlignment="1">
      <alignment horizontal="center" vertical="top" wrapText="1"/>
    </xf>
    <xf numFmtId="49" fontId="32" fillId="27" borderId="13" xfId="0" applyNumberFormat="1" applyFont="1" applyFill="1" applyBorder="1" applyAlignment="1">
      <alignment horizontal="center" vertical="top" wrapText="1"/>
    </xf>
    <xf numFmtId="49" fontId="32" fillId="27" borderId="13" xfId="0" applyNumberFormat="1" applyFont="1" applyFill="1" applyBorder="1" applyAlignment="1">
      <alignment horizontal="center" vertical="center" wrapText="1"/>
    </xf>
    <xf numFmtId="49" fontId="32" fillId="27" borderId="15" xfId="0" applyNumberFormat="1" applyFont="1" applyFill="1" applyBorder="1" applyAlignment="1" applyProtection="1">
      <alignment horizontal="left" vertical="center"/>
      <protection/>
    </xf>
    <xf numFmtId="49" fontId="32" fillId="27" borderId="14" xfId="0" applyNumberFormat="1" applyFont="1" applyFill="1" applyBorder="1" applyAlignment="1" applyProtection="1">
      <alignment horizontal="left" vertical="center"/>
      <protection/>
    </xf>
    <xf numFmtId="0" fontId="32" fillId="27" borderId="20" xfId="0" applyFont="1" applyFill="1" applyBorder="1" applyAlignment="1">
      <alignment horizontal="center" vertical="top" wrapText="1"/>
    </xf>
    <xf numFmtId="0" fontId="32" fillId="27" borderId="21" xfId="0" applyFont="1" applyFill="1" applyBorder="1" applyAlignment="1">
      <alignment horizontal="center" vertical="top" wrapText="1"/>
    </xf>
    <xf numFmtId="0" fontId="32" fillId="27" borderId="22" xfId="0" applyFont="1" applyFill="1" applyBorder="1" applyAlignment="1">
      <alignment horizontal="center" vertical="top" wrapText="1"/>
    </xf>
    <xf numFmtId="49" fontId="32" fillId="27" borderId="0" xfId="0" applyNumberFormat="1" applyFont="1" applyFill="1" applyBorder="1" applyAlignment="1" applyProtection="1">
      <alignment horizontal="center" vertical="top" wrapText="1"/>
      <protection/>
    </xf>
    <xf numFmtId="0" fontId="32" fillId="27" borderId="0" xfId="0" applyNumberFormat="1" applyFont="1" applyFill="1" applyBorder="1" applyAlignment="1" applyProtection="1">
      <alignment horizontal="center" vertical="top" wrapText="1"/>
      <protection/>
    </xf>
    <xf numFmtId="49" fontId="32" fillId="27" borderId="13" xfId="0" applyNumberFormat="1" applyFont="1" applyFill="1" applyBorder="1" applyAlignment="1" applyProtection="1">
      <alignment horizontal="center" vertical="center"/>
      <protection/>
    </xf>
    <xf numFmtId="0" fontId="32" fillId="27" borderId="13" xfId="0" applyFont="1" applyFill="1" applyBorder="1" applyAlignment="1">
      <alignment horizontal="center"/>
    </xf>
    <xf numFmtId="0" fontId="32" fillId="27" borderId="13" xfId="0" applyFont="1" applyFill="1" applyBorder="1" applyAlignment="1">
      <alignment horizontal="center" wrapText="1"/>
    </xf>
    <xf numFmtId="49" fontId="32" fillId="27" borderId="13" xfId="0" applyNumberFormat="1" applyFont="1" applyFill="1" applyBorder="1" applyAlignment="1" applyProtection="1">
      <alignment horizontal="center"/>
      <protection/>
    </xf>
    <xf numFmtId="0" fontId="32" fillId="27" borderId="13" xfId="0" applyNumberFormat="1" applyFont="1" applyFill="1" applyBorder="1" applyAlignment="1" applyProtection="1">
      <alignment horizontal="center" vertical="center"/>
      <protection/>
    </xf>
    <xf numFmtId="0" fontId="32" fillId="27" borderId="13" xfId="0" applyFont="1" applyFill="1" applyBorder="1" applyAlignment="1">
      <alignment horizontal="center" vertical="center" wrapText="1"/>
    </xf>
    <xf numFmtId="0" fontId="32" fillId="27" borderId="13" xfId="0" applyNumberFormat="1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>
      <alignment horizontal="left" vertical="center" wrapText="1"/>
    </xf>
    <xf numFmtId="49" fontId="33" fillId="27" borderId="13" xfId="0" applyNumberFormat="1" applyFon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49" fontId="33" fillId="24" borderId="15" xfId="0" applyNumberFormat="1" applyFont="1" applyFill="1" applyBorder="1" applyAlignment="1">
      <alignment horizontal="center"/>
    </xf>
    <xf numFmtId="49" fontId="33" fillId="24" borderId="16" xfId="0" applyNumberFormat="1" applyFont="1" applyFill="1" applyBorder="1" applyAlignment="1">
      <alignment horizontal="center"/>
    </xf>
    <xf numFmtId="49" fontId="33" fillId="24" borderId="14" xfId="0" applyNumberFormat="1" applyFont="1" applyFill="1" applyBorder="1" applyAlignment="1">
      <alignment horizontal="center"/>
    </xf>
    <xf numFmtId="0" fontId="39" fillId="0" borderId="15" xfId="0" applyFont="1" applyFill="1" applyBorder="1" applyAlignment="1">
      <alignment horizontal="left" vertical="top" wrapText="1" shrinkToFit="1"/>
    </xf>
    <xf numFmtId="0" fontId="39" fillId="0" borderId="16" xfId="0" applyFont="1" applyFill="1" applyBorder="1" applyAlignment="1">
      <alignment horizontal="left" vertical="top" wrapText="1" shrinkToFit="1"/>
    </xf>
    <xf numFmtId="0" fontId="39" fillId="0" borderId="14" xfId="0" applyFont="1" applyFill="1" applyBorder="1" applyAlignment="1">
      <alignment horizontal="left" vertical="top" wrapText="1" shrinkToFit="1"/>
    </xf>
    <xf numFmtId="0" fontId="33" fillId="0" borderId="15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0" fontId="33" fillId="24" borderId="15" xfId="0" applyNumberFormat="1" applyFont="1" applyFill="1" applyBorder="1" applyAlignment="1" applyProtection="1">
      <alignment horizontal="center" vertical="center" wrapText="1"/>
      <protection/>
    </xf>
    <xf numFmtId="0" fontId="33" fillId="24" borderId="16" xfId="0" applyNumberFormat="1" applyFont="1" applyFill="1" applyBorder="1" applyAlignment="1" applyProtection="1">
      <alignment horizontal="center" vertical="center" wrapText="1"/>
      <protection/>
    </xf>
    <xf numFmtId="0" fontId="33" fillId="24" borderId="14" xfId="0" applyNumberFormat="1" applyFont="1" applyFill="1" applyBorder="1" applyAlignment="1" applyProtection="1">
      <alignment horizontal="center" vertical="center" wrapText="1"/>
      <protection/>
    </xf>
  </cellXfs>
  <cellStyles count="258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Excel Built-in Normal" xfId="87"/>
    <cellStyle name="Normal_Local Bud Plan 2003" xfId="88"/>
    <cellStyle name="Акцент1" xfId="89"/>
    <cellStyle name="Акцент1 2" xfId="90"/>
    <cellStyle name="Акцент1 3" xfId="91"/>
    <cellStyle name="Акцент2" xfId="92"/>
    <cellStyle name="Акцент2 2" xfId="93"/>
    <cellStyle name="Акцент2 3" xfId="94"/>
    <cellStyle name="Акцент3" xfId="95"/>
    <cellStyle name="Акцент3 2" xfId="96"/>
    <cellStyle name="Акцент3 3" xfId="97"/>
    <cellStyle name="Акцент4" xfId="98"/>
    <cellStyle name="Акцент4 2" xfId="99"/>
    <cellStyle name="Акцент4 3" xfId="100"/>
    <cellStyle name="Акцент5" xfId="101"/>
    <cellStyle name="Акцент5 2" xfId="102"/>
    <cellStyle name="Акцент5 3" xfId="103"/>
    <cellStyle name="Акцент6" xfId="104"/>
    <cellStyle name="Акцент6 2" xfId="105"/>
    <cellStyle name="Акцент6 3" xfId="106"/>
    <cellStyle name="Акцентування1" xfId="107"/>
    <cellStyle name="Акцентування2" xfId="108"/>
    <cellStyle name="Акцентування3" xfId="109"/>
    <cellStyle name="Акцентування4" xfId="110"/>
    <cellStyle name="Акцентування5" xfId="111"/>
    <cellStyle name="Акцентування6" xfId="112"/>
    <cellStyle name="Ввід" xfId="113"/>
    <cellStyle name="Ввод " xfId="114"/>
    <cellStyle name="Ввод  2" xfId="115"/>
    <cellStyle name="Ввод  3" xfId="116"/>
    <cellStyle name="Вывод" xfId="117"/>
    <cellStyle name="Вывод 2" xfId="118"/>
    <cellStyle name="Вывод 3" xfId="119"/>
    <cellStyle name="Вычисление" xfId="120"/>
    <cellStyle name="Вычисление 2" xfId="121"/>
    <cellStyle name="Вычисление 3" xfId="122"/>
    <cellStyle name="Hyperlink" xfId="123"/>
    <cellStyle name="Гиперссылка 2" xfId="124"/>
    <cellStyle name="Currency" xfId="125"/>
    <cellStyle name="Currency [0]" xfId="126"/>
    <cellStyle name="Денежный 2" xfId="127"/>
    <cellStyle name="Денежный 3" xfId="128"/>
    <cellStyle name="Денежный 3 2" xfId="129"/>
    <cellStyle name="Денежный 3 2 2" xfId="130"/>
    <cellStyle name="Добре" xfId="131"/>
    <cellStyle name="Заголовок 1" xfId="132"/>
    <cellStyle name="Заголовок 1 2" xfId="133"/>
    <cellStyle name="Заголовок 1 3" xfId="134"/>
    <cellStyle name="Заголовок 2" xfId="135"/>
    <cellStyle name="Заголовок 2 2" xfId="136"/>
    <cellStyle name="Заголовок 2 3" xfId="137"/>
    <cellStyle name="Заголовок 3" xfId="138"/>
    <cellStyle name="Заголовок 3 2" xfId="139"/>
    <cellStyle name="Заголовок 3 3" xfId="140"/>
    <cellStyle name="Заголовок 4" xfId="141"/>
    <cellStyle name="Заголовок 4 2" xfId="142"/>
    <cellStyle name="Заголовок 4 3" xfId="143"/>
    <cellStyle name="Звичайний 10" xfId="144"/>
    <cellStyle name="Звичайний 11" xfId="145"/>
    <cellStyle name="Звичайний 12" xfId="146"/>
    <cellStyle name="Звичайний 13" xfId="147"/>
    <cellStyle name="Звичайний 14" xfId="148"/>
    <cellStyle name="Звичайний 15" xfId="149"/>
    <cellStyle name="Звичайний 16" xfId="150"/>
    <cellStyle name="Звичайний 17" xfId="151"/>
    <cellStyle name="Звичайний 18" xfId="152"/>
    <cellStyle name="Звичайний 19" xfId="153"/>
    <cellStyle name="Звичайний 2" xfId="154"/>
    <cellStyle name="Звичайний 2 2" xfId="155"/>
    <cellStyle name="Звичайний 20" xfId="156"/>
    <cellStyle name="Звичайний 3" xfId="157"/>
    <cellStyle name="Звичайний 3 2" xfId="158"/>
    <cellStyle name="Звичайний 4" xfId="159"/>
    <cellStyle name="Звичайний 4 2" xfId="160"/>
    <cellStyle name="Звичайний 5" xfId="161"/>
    <cellStyle name="Звичайний 6" xfId="162"/>
    <cellStyle name="Звичайний 7" xfId="163"/>
    <cellStyle name="Звичайний 8" xfId="164"/>
    <cellStyle name="Звичайний 9" xfId="165"/>
    <cellStyle name="Звичайний_Xl0000125" xfId="166"/>
    <cellStyle name="Звичайний_Додаток _ 3 зм_ни 4575" xfId="167"/>
    <cellStyle name="Зв'язана клітинка" xfId="168"/>
    <cellStyle name="Итог" xfId="169"/>
    <cellStyle name="Итог 2" xfId="170"/>
    <cellStyle name="Итог 3" xfId="171"/>
    <cellStyle name="Контрольна клітинка" xfId="172"/>
    <cellStyle name="Контрольная ячейка" xfId="173"/>
    <cellStyle name="Контрольная ячейка 2" xfId="174"/>
    <cellStyle name="Контрольная ячейка 3" xfId="175"/>
    <cellStyle name="Назва" xfId="176"/>
    <cellStyle name="Название" xfId="177"/>
    <cellStyle name="Название 2" xfId="178"/>
    <cellStyle name="Название 3" xfId="179"/>
    <cellStyle name="Нейтральный" xfId="180"/>
    <cellStyle name="Нейтральный 2" xfId="181"/>
    <cellStyle name="Нейтральный 3" xfId="182"/>
    <cellStyle name="Обчислення" xfId="183"/>
    <cellStyle name="Обычный 10" xfId="184"/>
    <cellStyle name="Обычный 11" xfId="185"/>
    <cellStyle name="Обычный 12" xfId="186"/>
    <cellStyle name="Обычный 13" xfId="187"/>
    <cellStyle name="Обычный 13 2" xfId="188"/>
    <cellStyle name="Обычный 14" xfId="189"/>
    <cellStyle name="Обычный 15" xfId="190"/>
    <cellStyle name="Обычный 16" xfId="191"/>
    <cellStyle name="Обычный 16 2" xfId="192"/>
    <cellStyle name="Обычный 16_додаток 6" xfId="193"/>
    <cellStyle name="Обычный 18" xfId="194"/>
    <cellStyle name="Обычный 18 2" xfId="195"/>
    <cellStyle name="Обычный 2" xfId="196"/>
    <cellStyle name="Обычный 2 2" xfId="197"/>
    <cellStyle name="Обычный 2 3" xfId="198"/>
    <cellStyle name="Обычный 2 4" xfId="199"/>
    <cellStyle name="Обычный 2 5" xfId="200"/>
    <cellStyle name="Обычный 2 6" xfId="201"/>
    <cellStyle name="Обычный 2 7" xfId="202"/>
    <cellStyle name="Обычный 2 8" xfId="203"/>
    <cellStyle name="Обычный 2 8 2" xfId="204"/>
    <cellStyle name="Обычный 2 9" xfId="205"/>
    <cellStyle name="Обычный 2 9 2" xfId="206"/>
    <cellStyle name="Обычный 2_дод до поясн" xfId="207"/>
    <cellStyle name="Обычный 3" xfId="208"/>
    <cellStyle name="Обычный 3 2" xfId="209"/>
    <cellStyle name="Обычный 3 3" xfId="210"/>
    <cellStyle name="Обычный 3 4" xfId="211"/>
    <cellStyle name="Обычный 3_дод до поясн" xfId="212"/>
    <cellStyle name="Обычный 4" xfId="213"/>
    <cellStyle name="Обычный 4 2" xfId="214"/>
    <cellStyle name="Обычный 4 2 2" xfId="215"/>
    <cellStyle name="Обычный 4 3" xfId="216"/>
    <cellStyle name="Обычный 4 3 2" xfId="217"/>
    <cellStyle name="Обычный 4 4" xfId="218"/>
    <cellStyle name="Обычный 4_додаткові пропозиції" xfId="219"/>
    <cellStyle name="Обычный 43" xfId="220"/>
    <cellStyle name="Обычный 5" xfId="221"/>
    <cellStyle name="Обычный 6" xfId="222"/>
    <cellStyle name="Обычный 6 2" xfId="223"/>
    <cellStyle name="Обычный 7" xfId="224"/>
    <cellStyle name="Обычный 8" xfId="225"/>
    <cellStyle name="Обычный 9" xfId="226"/>
    <cellStyle name="Обычный 9 2" xfId="227"/>
    <cellStyle name="Обычный_дод 2-9" xfId="228"/>
    <cellStyle name="Обычный_дод 2-9_дод  2-10. з бюджетом розвитку" xfId="229"/>
    <cellStyle name="Обычный_дод 8 до бюджету 2012" xfId="230"/>
    <cellStyle name="Обычный_дод до поясн" xfId="231"/>
    <cellStyle name="Обычный_додаток 6" xfId="232"/>
    <cellStyle name="Обычный_додаток 6_1" xfId="233"/>
    <cellStyle name="Followed Hyperlink" xfId="234"/>
    <cellStyle name="Підсумок" xfId="235"/>
    <cellStyle name="Плохой" xfId="236"/>
    <cellStyle name="Плохой 2" xfId="237"/>
    <cellStyle name="Плохой 3" xfId="238"/>
    <cellStyle name="Поганий" xfId="239"/>
    <cellStyle name="Пояснение" xfId="240"/>
    <cellStyle name="Пояснение 2" xfId="241"/>
    <cellStyle name="Пояснение 3" xfId="242"/>
    <cellStyle name="Примечание" xfId="243"/>
    <cellStyle name="Примечание 2" xfId="244"/>
    <cellStyle name="Примечание 3" xfId="245"/>
    <cellStyle name="Примітка" xfId="246"/>
    <cellStyle name="Percent" xfId="247"/>
    <cellStyle name="Процентный 2" xfId="248"/>
    <cellStyle name="Процентный 2 2" xfId="249"/>
    <cellStyle name="Результат" xfId="250"/>
    <cellStyle name="Связанная ячейка" xfId="251"/>
    <cellStyle name="Связанная ячейка 2" xfId="252"/>
    <cellStyle name="Связанная ячейка 3" xfId="253"/>
    <cellStyle name="Середній" xfId="254"/>
    <cellStyle name="Стиль 1" xfId="255"/>
    <cellStyle name="Текст попередження" xfId="256"/>
    <cellStyle name="Текст пояснення" xfId="257"/>
    <cellStyle name="Текст предупреждения" xfId="258"/>
    <cellStyle name="Текст предупреждения 2" xfId="259"/>
    <cellStyle name="Текст предупреждения 3" xfId="260"/>
    <cellStyle name="Тысячи [0]_Розподіл (2)" xfId="261"/>
    <cellStyle name="Тысячи_бюджет 1998 по клас." xfId="262"/>
    <cellStyle name="Comma" xfId="263"/>
    <cellStyle name="Comma [0]" xfId="264"/>
    <cellStyle name="Финансовый 2" xfId="265"/>
    <cellStyle name="Финансовый 3" xfId="266"/>
    <cellStyle name="Финансовый 3 2" xfId="267"/>
    <cellStyle name="Финансовый 3 2 2" xfId="268"/>
    <cellStyle name="Хороший" xfId="269"/>
    <cellStyle name="Хороший 2" xfId="270"/>
    <cellStyle name="Хороший 3" xfId="2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24"/>
  <sheetViews>
    <sheetView tabSelected="1" view="pageBreakPreview" zoomScale="52" zoomScaleNormal="70" zoomScaleSheetLayoutView="52" zoomScalePageLayoutView="0" workbookViewId="0" topLeftCell="A1">
      <pane ySplit="3" topLeftCell="A4" activePane="bottomLeft" state="frozen"/>
      <selection pane="topLeft" activeCell="A1" sqref="A1"/>
      <selection pane="bottomLeft" activeCell="Z18" sqref="Z18"/>
    </sheetView>
  </sheetViews>
  <sheetFormatPr defaultColWidth="7" defaultRowHeight="12.75"/>
  <cols>
    <col min="1" max="1" width="14.33203125" style="10" customWidth="1"/>
    <col min="2" max="2" width="13.66015625" style="11" hidden="1" customWidth="1"/>
    <col min="3" max="3" width="12.83203125" style="18" hidden="1" customWidth="1"/>
    <col min="4" max="4" width="25.5" style="12" customWidth="1"/>
    <col min="5" max="5" width="67" style="16" customWidth="1"/>
    <col min="6" max="6" width="12.83203125" style="91" hidden="1" customWidth="1"/>
    <col min="7" max="7" width="21.16015625" style="11" hidden="1" customWidth="1"/>
    <col min="8" max="8" width="16.16015625" style="11" hidden="1" customWidth="1"/>
    <col min="9" max="9" width="19.33203125" style="11" hidden="1" customWidth="1"/>
    <col min="10" max="10" width="9.83203125" style="11" hidden="1" customWidth="1"/>
    <col min="11" max="11" width="25.16015625" style="13" customWidth="1"/>
    <col min="12" max="12" width="26.16015625" style="13" hidden="1" customWidth="1"/>
    <col min="13" max="13" width="16.16015625" style="2" hidden="1" customWidth="1"/>
    <col min="14" max="14" width="17.5" style="2" hidden="1" customWidth="1"/>
    <col min="15" max="15" width="17.33203125" style="2" hidden="1" customWidth="1"/>
    <col min="16" max="16" width="16.5" style="2" hidden="1" customWidth="1"/>
    <col min="17" max="17" width="17.33203125" style="2" hidden="1" customWidth="1"/>
    <col min="18" max="18" width="16.5" style="2" hidden="1" customWidth="1"/>
    <col min="19" max="21" width="17.33203125" style="2" hidden="1" customWidth="1"/>
    <col min="22" max="22" width="18.83203125" style="2" hidden="1" customWidth="1"/>
    <col min="23" max="24" width="17.33203125" style="2" hidden="1" customWidth="1"/>
    <col min="25" max="25" width="17.16015625" style="2" hidden="1" customWidth="1"/>
    <col min="26" max="26" width="20.83203125" style="2" customWidth="1"/>
    <col min="27" max="28" width="17.83203125" style="2" hidden="1" customWidth="1"/>
    <col min="29" max="29" width="15.83203125" style="86" hidden="1" customWidth="1"/>
    <col min="30" max="30" width="17.33203125" style="2" hidden="1" customWidth="1"/>
    <col min="31" max="31" width="0" style="2" hidden="1" customWidth="1"/>
    <col min="32" max="16384" width="7" style="2" customWidth="1"/>
  </cols>
  <sheetData>
    <row r="1" spans="1:24" ht="33" customHeight="1">
      <c r="A1" s="203" t="s">
        <v>21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</row>
    <row r="2" spans="1:12" ht="15">
      <c r="A2" s="3"/>
      <c r="B2" s="4"/>
      <c r="C2" s="17"/>
      <c r="D2" s="5"/>
      <c r="E2" s="15"/>
      <c r="F2" s="88"/>
      <c r="G2" s="6"/>
      <c r="H2" s="7"/>
      <c r="I2" s="7"/>
      <c r="J2" s="7"/>
      <c r="L2" s="8" t="s">
        <v>0</v>
      </c>
    </row>
    <row r="3" spans="1:30" ht="87" customHeight="1" hidden="1">
      <c r="A3" s="210" t="s">
        <v>770</v>
      </c>
      <c r="B3" s="211"/>
      <c r="C3" s="211"/>
      <c r="D3" s="211"/>
      <c r="E3" s="211"/>
      <c r="F3" s="211"/>
      <c r="G3" s="211"/>
      <c r="H3" s="211"/>
      <c r="I3" s="211"/>
      <c r="J3" s="212"/>
      <c r="K3" s="82" t="s">
        <v>771</v>
      </c>
      <c r="L3" s="8"/>
      <c r="M3" s="9" t="s">
        <v>752</v>
      </c>
      <c r="N3" s="9" t="s">
        <v>753</v>
      </c>
      <c r="O3" s="9" t="s">
        <v>754</v>
      </c>
      <c r="P3" s="9" t="s">
        <v>755</v>
      </c>
      <c r="Q3" s="9" t="s">
        <v>756</v>
      </c>
      <c r="R3" s="9" t="s">
        <v>757</v>
      </c>
      <c r="S3" s="9" t="s">
        <v>758</v>
      </c>
      <c r="T3" s="9" t="s">
        <v>759</v>
      </c>
      <c r="U3" s="9" t="s">
        <v>760</v>
      </c>
      <c r="V3" s="9" t="s">
        <v>761</v>
      </c>
      <c r="W3" s="9" t="s">
        <v>762</v>
      </c>
      <c r="X3" s="9" t="s">
        <v>763</v>
      </c>
      <c r="Y3" s="9" t="s">
        <v>764</v>
      </c>
      <c r="Z3" s="92" t="s">
        <v>791</v>
      </c>
      <c r="AA3" s="9" t="s">
        <v>788</v>
      </c>
      <c r="AB3" s="9" t="str">
        <f>AB17</f>
        <v>Подано заявок</v>
      </c>
      <c r="AC3" s="9" t="s">
        <v>790</v>
      </c>
      <c r="AD3" s="9" t="s">
        <v>789</v>
      </c>
    </row>
    <row r="4" spans="1:26" ht="36" customHeight="1" hidden="1">
      <c r="A4" s="207" t="s">
        <v>772</v>
      </c>
      <c r="B4" s="208"/>
      <c r="C4" s="208"/>
      <c r="D4" s="208"/>
      <c r="E4" s="208"/>
      <c r="F4" s="208"/>
      <c r="G4" s="208"/>
      <c r="H4" s="208"/>
      <c r="I4" s="208"/>
      <c r="J4" s="209"/>
      <c r="K4" s="83">
        <v>24000</v>
      </c>
      <c r="L4" s="8"/>
      <c r="M4" s="14">
        <v>2000</v>
      </c>
      <c r="N4" s="14">
        <v>2000</v>
      </c>
      <c r="O4" s="14">
        <v>2000</v>
      </c>
      <c r="P4" s="14">
        <v>2000</v>
      </c>
      <c r="Q4" s="14">
        <v>2000</v>
      </c>
      <c r="R4" s="14">
        <v>2000</v>
      </c>
      <c r="S4" s="14">
        <v>2000</v>
      </c>
      <c r="T4" s="14">
        <v>2000</v>
      </c>
      <c r="U4" s="14">
        <v>2000</v>
      </c>
      <c r="V4" s="14">
        <v>2000</v>
      </c>
      <c r="W4" s="14">
        <v>2000</v>
      </c>
      <c r="X4" s="14">
        <v>2000</v>
      </c>
      <c r="Y4" s="14">
        <f>K4-M4-N4-O4-P4-Q4-R4-S4-T4-U4-V4-W4-X4</f>
        <v>0</v>
      </c>
      <c r="Z4" s="93">
        <f>3000+1000+1000+1000+1000+12000+1000</f>
        <v>20000</v>
      </c>
    </row>
    <row r="5" spans="1:26" ht="36" customHeight="1" hidden="1">
      <c r="A5" s="207" t="s">
        <v>773</v>
      </c>
      <c r="B5" s="208"/>
      <c r="C5" s="208"/>
      <c r="D5" s="208"/>
      <c r="E5" s="208"/>
      <c r="F5" s="208"/>
      <c r="G5" s="208"/>
      <c r="H5" s="208"/>
      <c r="I5" s="208"/>
      <c r="J5" s="209"/>
      <c r="K5" s="83">
        <v>4500000</v>
      </c>
      <c r="L5" s="8"/>
      <c r="M5" s="14">
        <v>50000</v>
      </c>
      <c r="N5" s="14">
        <v>150000</v>
      </c>
      <c r="O5" s="14">
        <v>200000</v>
      </c>
      <c r="P5" s="14">
        <v>500000</v>
      </c>
      <c r="Q5" s="14">
        <v>500000</v>
      </c>
      <c r="R5" s="14">
        <v>600000</v>
      </c>
      <c r="S5" s="14">
        <v>700000</v>
      </c>
      <c r="T5" s="14">
        <v>700000</v>
      </c>
      <c r="U5" s="14">
        <v>500000</v>
      </c>
      <c r="V5" s="14">
        <v>300000</v>
      </c>
      <c r="W5" s="14">
        <v>300000</v>
      </c>
      <c r="X5" s="14"/>
      <c r="Y5" s="14">
        <f aca="true" t="shared" si="0" ref="Y5:Y12">K5-M5-N5-O5-P5-Q5-R5-S5-T5-U5-V5-W5-X5</f>
        <v>0</v>
      </c>
      <c r="Z5" s="93">
        <f>1566234+398894+88938+6489+74296+53530+34330+58330+23112+3200+8979+3527.99+17152+4900+39130+13515+4950+761449+20000+25046+220000+10131+10000+1978+900440+3000+35512</f>
        <v>4387062.99</v>
      </c>
    </row>
    <row r="6" spans="1:26" ht="36" customHeight="1" hidden="1">
      <c r="A6" s="207" t="s">
        <v>774</v>
      </c>
      <c r="B6" s="208"/>
      <c r="C6" s="208"/>
      <c r="D6" s="208"/>
      <c r="E6" s="208"/>
      <c r="F6" s="208"/>
      <c r="G6" s="208"/>
      <c r="H6" s="208"/>
      <c r="I6" s="208"/>
      <c r="J6" s="209"/>
      <c r="K6" s="83">
        <f>6276000+30000000</f>
        <v>36276000</v>
      </c>
      <c r="L6" s="8"/>
      <c r="M6" s="14">
        <v>238320</v>
      </c>
      <c r="N6" s="14">
        <v>313820</v>
      </c>
      <c r="O6" s="14"/>
      <c r="P6" s="14">
        <v>500000</v>
      </c>
      <c r="Q6" s="14">
        <v>300000</v>
      </c>
      <c r="R6" s="14">
        <v>933860</v>
      </c>
      <c r="S6" s="14">
        <v>500000</v>
      </c>
      <c r="T6" s="14">
        <v>490000</v>
      </c>
      <c r="U6" s="14">
        <v>1000000</v>
      </c>
      <c r="V6" s="14">
        <v>1000000</v>
      </c>
      <c r="W6" s="14">
        <v>1000000</v>
      </c>
      <c r="X6" s="14">
        <v>30000000</v>
      </c>
      <c r="Y6" s="14">
        <f t="shared" si="0"/>
        <v>0</v>
      </c>
      <c r="Z6" s="93">
        <f>170786.54+3.61+4.87+3.11+2.63+7.74+5.92+2.73+6.74+2.28+2.52+13.34+1.98</f>
        <v>170844.00999999998</v>
      </c>
    </row>
    <row r="7" spans="1:26" ht="36" customHeight="1" hidden="1">
      <c r="A7" s="207" t="s">
        <v>775</v>
      </c>
      <c r="B7" s="208"/>
      <c r="C7" s="208"/>
      <c r="D7" s="208"/>
      <c r="E7" s="208"/>
      <c r="F7" s="208"/>
      <c r="G7" s="208"/>
      <c r="H7" s="208"/>
      <c r="I7" s="208"/>
      <c r="J7" s="209"/>
      <c r="K7" s="83">
        <v>9000000</v>
      </c>
      <c r="L7" s="8"/>
      <c r="M7" s="14">
        <v>750000</v>
      </c>
      <c r="N7" s="14">
        <v>750000</v>
      </c>
      <c r="O7" s="14">
        <v>750000</v>
      </c>
      <c r="P7" s="14">
        <v>750000</v>
      </c>
      <c r="Q7" s="14">
        <v>750000</v>
      </c>
      <c r="R7" s="14">
        <v>750000</v>
      </c>
      <c r="S7" s="14">
        <v>750000</v>
      </c>
      <c r="T7" s="14">
        <v>750000</v>
      </c>
      <c r="U7" s="14">
        <v>750000</v>
      </c>
      <c r="V7" s="14">
        <v>750000</v>
      </c>
      <c r="W7" s="14">
        <v>750000</v>
      </c>
      <c r="X7" s="14">
        <v>750000</v>
      </c>
      <c r="Y7" s="14">
        <f t="shared" si="0"/>
        <v>0</v>
      </c>
      <c r="Z7" s="93">
        <f>73534+38717+38717+13800+143139+251768+17034+380200+11900+17170.27+13800+11900+43758+52008.63+13800+11900+17359.55+11900+106396+17394.27+15531.16+27600</f>
        <v>1329326.88</v>
      </c>
    </row>
    <row r="8" spans="1:26" ht="36" customHeight="1" hidden="1">
      <c r="A8" s="213" t="s">
        <v>776</v>
      </c>
      <c r="B8" s="214"/>
      <c r="C8" s="214"/>
      <c r="D8" s="214"/>
      <c r="E8" s="214"/>
      <c r="F8" s="214"/>
      <c r="G8" s="214"/>
      <c r="H8" s="214"/>
      <c r="I8" s="214"/>
      <c r="J8" s="215"/>
      <c r="K8" s="84">
        <f aca="true" t="shared" si="1" ref="K8:Z8">SUM(K4:K7)</f>
        <v>49800000</v>
      </c>
      <c r="L8" s="84">
        <f t="shared" si="1"/>
        <v>0</v>
      </c>
      <c r="M8" s="84">
        <f t="shared" si="1"/>
        <v>1040320</v>
      </c>
      <c r="N8" s="84">
        <f t="shared" si="1"/>
        <v>1215820</v>
      </c>
      <c r="O8" s="84">
        <f t="shared" si="1"/>
        <v>952000</v>
      </c>
      <c r="P8" s="84">
        <f t="shared" si="1"/>
        <v>1752000</v>
      </c>
      <c r="Q8" s="84">
        <f t="shared" si="1"/>
        <v>1552000</v>
      </c>
      <c r="R8" s="84">
        <f t="shared" si="1"/>
        <v>2285860</v>
      </c>
      <c r="S8" s="84">
        <f t="shared" si="1"/>
        <v>1952000</v>
      </c>
      <c r="T8" s="84">
        <f t="shared" si="1"/>
        <v>1942000</v>
      </c>
      <c r="U8" s="84">
        <f t="shared" si="1"/>
        <v>2252000</v>
      </c>
      <c r="V8" s="84">
        <f t="shared" si="1"/>
        <v>2052000</v>
      </c>
      <c r="W8" s="84">
        <f t="shared" si="1"/>
        <v>2052000</v>
      </c>
      <c r="X8" s="84">
        <f t="shared" si="1"/>
        <v>30752000</v>
      </c>
      <c r="Y8" s="14">
        <f t="shared" si="0"/>
        <v>0</v>
      </c>
      <c r="Z8" s="94">
        <f t="shared" si="1"/>
        <v>5907233.88</v>
      </c>
    </row>
    <row r="9" spans="1:28" ht="36" customHeight="1" hidden="1">
      <c r="A9" s="207" t="s">
        <v>777</v>
      </c>
      <c r="B9" s="208"/>
      <c r="C9" s="208"/>
      <c r="D9" s="208"/>
      <c r="E9" s="208"/>
      <c r="F9" s="208"/>
      <c r="G9" s="208"/>
      <c r="H9" s="208"/>
      <c r="I9" s="208"/>
      <c r="J9" s="209"/>
      <c r="K9" s="83">
        <f>SUM(M9:X9)</f>
        <v>498342846.7799999</v>
      </c>
      <c r="L9" s="8"/>
      <c r="M9" s="14">
        <v>1885622.61</v>
      </c>
      <c r="N9" s="14">
        <f>17791681.36+1122371.69+8000+73578+1000000+1741000+4881000</f>
        <v>26617631.05</v>
      </c>
      <c r="O9" s="14">
        <f>20757965-65405.22+73813+163820.3+20000+185090.32+1035273.2+36789+1580000+304919+1452+38488.35+7788006.45+700000+2400000+2241400+11016+287343.02+19759062.94+33020+1370000+340000+334196+150000+277664.58+2200000+4715.11+4255600+600000</f>
        <v>66884229.05000001</v>
      </c>
      <c r="P9" s="14">
        <f>53628531.96+10000+10000+7616+76173+16665-4881000-741400-894418.2+1033690+1140000-200000-1033690+1400000+4752000-261500+1871829.76-200000-1004749.29-552620+119413+2171660</f>
        <v>56468201.23</v>
      </c>
      <c r="Q9" s="14">
        <f>26997688.07-70000+23709.9+82489+156883-2400000-287343.02-890754.06-340000+1108690+450000+666368.78-1108690-1400000-2800000+261500-1722855.64-1121350-857113+900000+15488686.97-945000+474000+1280000+1044000</f>
        <v>34990910</v>
      </c>
      <c r="R9" s="14">
        <f>2360164+34595-5566+1108690-25309-1108690-176782.32-41750+900000+1500000+2417345+6281683.77-783000+57316+2438366.11+578173.19</f>
        <v>15535235.749999998</v>
      </c>
      <c r="S9" s="14">
        <f>89417276.16-972307.77-5874186.4-900000+1108690+150000-2200000-341276-500000+1109950-1004530-148974.12-1402963.66-5809133.06-163000-580000-632690-900000-2417345-3155554.13-278972+783000-104204-314833+4432000+1688340+593750+905391.07+506192.6+1359000+349500</f>
        <v>74703120.68999997</v>
      </c>
      <c r="T9" s="14">
        <f>75995293.66-14658.7+80000+4500000-2057331.99-470000-250000+345240+465195+32212.85-1475000-3500000-4715.11+200000-465195-2691809.17-6236933.45-2171660-309000-350000-261310-700000-3126129.64-353023-1930551.26-3000000-506192.6-1359000</f>
        <v>50385431.58999999</v>
      </c>
      <c r="U9" s="14">
        <f>52626860.14-450000-1150650.8-20000+1108690-280000-486805-1000-150000-700000-263340.19-581391.07</f>
        <v>49652363.080000006</v>
      </c>
      <c r="V9" s="14">
        <f>74170972.57-3815868.94+1108690-1008415-77663-15488686.97-150000-100000-403610.85-1688340-593750-324000-349500</f>
        <v>51279827.809999995</v>
      </c>
      <c r="W9" s="14">
        <f>68114154.96-1050000-4404512.43-33020-54196+1108690-620000-39265-900000-200000-1432000</f>
        <v>60489851.529999994</v>
      </c>
      <c r="X9" s="14">
        <f>1026480.51+300000+208000+1000000+1200000+935000+30000+192721+200000-665774.12-30000+800000+2400000+130000+1108735-960735+945000-1000+631995</f>
        <v>9450422.39</v>
      </c>
      <c r="Y9" s="14">
        <f t="shared" si="0"/>
        <v>-1.2665987014770508E-07</v>
      </c>
      <c r="Z9" s="93">
        <f>20799675.66+20692559.78+11466439.65+2400000+577158.5+1951584.52+1880671.56+1018038.27+648925.43+1000000+3985366.75+1192875+2200000+220223.8+4700370+20393557.08+573960-11900+10686568.13+16856000+698204.73+4593974.12+200784.6+1199509.7+19217122.38+4532524.86+444823.2+13898682.98+3942000+1345988.74+2777381.8+1814559.03+7485677.97+1248279.51+3869786.43+4282526.79+2503317.49+6280587.46+12565015.51+13690486.7+12035830.55+1171.85</f>
        <v>241860310.53</v>
      </c>
      <c r="AA9" s="86"/>
      <c r="AB9" s="86"/>
    </row>
    <row r="10" spans="1:26" ht="60" customHeight="1" hidden="1">
      <c r="A10" s="207" t="s">
        <v>778</v>
      </c>
      <c r="B10" s="208"/>
      <c r="C10" s="208"/>
      <c r="D10" s="208"/>
      <c r="E10" s="208"/>
      <c r="F10" s="208"/>
      <c r="G10" s="208"/>
      <c r="H10" s="208"/>
      <c r="I10" s="208"/>
      <c r="J10" s="209"/>
      <c r="K10" s="83">
        <v>64571578</v>
      </c>
      <c r="L10" s="8"/>
      <c r="M10" s="14"/>
      <c r="N10" s="14"/>
      <c r="O10" s="14"/>
      <c r="P10" s="14">
        <v>18531257</v>
      </c>
      <c r="Q10" s="14">
        <v>14000675</v>
      </c>
      <c r="R10" s="14"/>
      <c r="S10" s="14"/>
      <c r="T10" s="14"/>
      <c r="U10" s="14"/>
      <c r="V10" s="14">
        <v>18215199</v>
      </c>
      <c r="W10" s="14">
        <v>13824447</v>
      </c>
      <c r="X10" s="14"/>
      <c r="Y10" s="14">
        <f t="shared" si="0"/>
        <v>0</v>
      </c>
      <c r="Z10" s="93">
        <f>5405721.78+3908405.4</f>
        <v>9314127.18</v>
      </c>
    </row>
    <row r="11" spans="1:27" ht="45" customHeight="1" hidden="1">
      <c r="A11" s="207" t="s">
        <v>905</v>
      </c>
      <c r="B11" s="208"/>
      <c r="C11" s="208"/>
      <c r="D11" s="208"/>
      <c r="E11" s="208"/>
      <c r="F11" s="208"/>
      <c r="G11" s="208"/>
      <c r="H11" s="208"/>
      <c r="I11" s="208"/>
      <c r="J11" s="209"/>
      <c r="K11" s="83">
        <v>325000</v>
      </c>
      <c r="L11" s="8"/>
      <c r="M11" s="14"/>
      <c r="N11" s="14"/>
      <c r="O11" s="14"/>
      <c r="P11" s="14">
        <v>325000</v>
      </c>
      <c r="Q11" s="14"/>
      <c r="R11" s="14"/>
      <c r="S11" s="14"/>
      <c r="T11" s="14"/>
      <c r="U11" s="14"/>
      <c r="V11" s="14"/>
      <c r="W11" s="14"/>
      <c r="X11" s="14"/>
      <c r="Y11" s="14">
        <f t="shared" si="0"/>
        <v>0</v>
      </c>
      <c r="Z11" s="93">
        <f>51000+63360+119000+91000-3285.51</f>
        <v>321074.49</v>
      </c>
      <c r="AA11" s="86"/>
    </row>
    <row r="12" spans="1:26" ht="36" customHeight="1" hidden="1">
      <c r="A12" s="204" t="s">
        <v>779</v>
      </c>
      <c r="B12" s="205"/>
      <c r="C12" s="205"/>
      <c r="D12" s="205"/>
      <c r="E12" s="205"/>
      <c r="F12" s="205"/>
      <c r="G12" s="205"/>
      <c r="H12" s="205"/>
      <c r="I12" s="206"/>
      <c r="J12" s="106"/>
      <c r="K12" s="84">
        <f>K8+K9+K10+K11</f>
        <v>613039424.78</v>
      </c>
      <c r="L12" s="84">
        <f aca="true" t="shared" si="2" ref="L12:Z12">L8+L9+L10+L11</f>
        <v>0</v>
      </c>
      <c r="M12" s="84">
        <f t="shared" si="2"/>
        <v>2925942.6100000003</v>
      </c>
      <c r="N12" s="84">
        <f t="shared" si="2"/>
        <v>27833451.05</v>
      </c>
      <c r="O12" s="84">
        <f t="shared" si="2"/>
        <v>67836229.05000001</v>
      </c>
      <c r="P12" s="84">
        <f t="shared" si="2"/>
        <v>77076458.22999999</v>
      </c>
      <c r="Q12" s="84">
        <f t="shared" si="2"/>
        <v>50543585</v>
      </c>
      <c r="R12" s="84">
        <f t="shared" si="2"/>
        <v>17821095.75</v>
      </c>
      <c r="S12" s="84">
        <f t="shared" si="2"/>
        <v>76655120.68999997</v>
      </c>
      <c r="T12" s="84">
        <f t="shared" si="2"/>
        <v>52327431.58999999</v>
      </c>
      <c r="U12" s="84">
        <f t="shared" si="2"/>
        <v>51904363.080000006</v>
      </c>
      <c r="V12" s="84">
        <f t="shared" si="2"/>
        <v>71547026.81</v>
      </c>
      <c r="W12" s="84">
        <f t="shared" si="2"/>
        <v>76366298.53</v>
      </c>
      <c r="X12" s="84">
        <f t="shared" si="2"/>
        <v>40202422.39</v>
      </c>
      <c r="Y12" s="14">
        <f t="shared" si="0"/>
        <v>1.043081283569336E-07</v>
      </c>
      <c r="Z12" s="84">
        <f t="shared" si="2"/>
        <v>257402746.08</v>
      </c>
    </row>
    <row r="13" spans="1:12" ht="17.25" hidden="1">
      <c r="A13" s="162" t="s">
        <v>780</v>
      </c>
      <c r="B13" s="163"/>
      <c r="C13" s="163"/>
      <c r="D13" s="163"/>
      <c r="E13" s="163"/>
      <c r="F13" s="163"/>
      <c r="G13" s="163"/>
      <c r="H13" s="163"/>
      <c r="I13" s="164"/>
      <c r="J13" s="107"/>
      <c r="K13" s="85">
        <v>511993.55</v>
      </c>
      <c r="L13" s="8"/>
    </row>
    <row r="14" spans="1:12" ht="17.25" hidden="1">
      <c r="A14" s="162" t="s">
        <v>792</v>
      </c>
      <c r="B14" s="163"/>
      <c r="C14" s="163"/>
      <c r="D14" s="163"/>
      <c r="E14" s="163"/>
      <c r="F14" s="163"/>
      <c r="G14" s="163"/>
      <c r="H14" s="163"/>
      <c r="I14" s="164"/>
      <c r="J14" s="107"/>
      <c r="K14" s="85">
        <f>26732210.58-8848645.74+18209865.35+11255758.63-244458.6-5817900-4231819.1-1767454.67-2967667-418718.14-1147292.6-5732394.72-5241087.54-17471474.3-2308922.15+114117.92-114117.92</f>
        <v>-5.122274160385132E-09</v>
      </c>
      <c r="L14" s="8"/>
    </row>
    <row r="15" spans="1:12" ht="36" customHeight="1" hidden="1">
      <c r="A15" s="162" t="s">
        <v>793</v>
      </c>
      <c r="B15" s="163"/>
      <c r="C15" s="163"/>
      <c r="D15" s="163"/>
      <c r="E15" s="163"/>
      <c r="F15" s="163"/>
      <c r="G15" s="163"/>
      <c r="H15" s="163"/>
      <c r="I15" s="164"/>
      <c r="J15" s="107"/>
      <c r="K15" s="85">
        <f>K13+Z12-K14-Z810</f>
        <v>35512.0000000298</v>
      </c>
      <c r="L15" s="8"/>
    </row>
    <row r="16" spans="1:12" ht="15">
      <c r="A16" s="3"/>
      <c r="B16" s="4"/>
      <c r="C16" s="17"/>
      <c r="D16" s="5"/>
      <c r="E16" s="15"/>
      <c r="F16" s="88"/>
      <c r="G16" s="6"/>
      <c r="H16" s="7"/>
      <c r="I16" s="7"/>
      <c r="J16" s="7"/>
      <c r="L16" s="8"/>
    </row>
    <row r="17" spans="1:30" ht="150" customHeight="1">
      <c r="A17" s="116" t="s">
        <v>12</v>
      </c>
      <c r="B17" s="116" t="s">
        <v>13</v>
      </c>
      <c r="C17" s="116" t="s">
        <v>1</v>
      </c>
      <c r="D17" s="117" t="s">
        <v>711</v>
      </c>
      <c r="E17" s="112" t="s">
        <v>14</v>
      </c>
      <c r="F17" s="112" t="s">
        <v>787</v>
      </c>
      <c r="G17" s="112" t="s">
        <v>16</v>
      </c>
      <c r="H17" s="112" t="s">
        <v>15</v>
      </c>
      <c r="I17" s="112" t="s">
        <v>18</v>
      </c>
      <c r="J17" s="112" t="s">
        <v>915</v>
      </c>
      <c r="K17" s="39" t="s">
        <v>19</v>
      </c>
      <c r="L17" s="39" t="s">
        <v>20</v>
      </c>
      <c r="M17" s="39" t="s">
        <v>752</v>
      </c>
      <c r="N17" s="39" t="s">
        <v>753</v>
      </c>
      <c r="O17" s="39" t="s">
        <v>754</v>
      </c>
      <c r="P17" s="39" t="s">
        <v>755</v>
      </c>
      <c r="Q17" s="39" t="s">
        <v>756</v>
      </c>
      <c r="R17" s="39" t="s">
        <v>757</v>
      </c>
      <c r="S17" s="39" t="s">
        <v>758</v>
      </c>
      <c r="T17" s="39" t="s">
        <v>759</v>
      </c>
      <c r="U17" s="39" t="s">
        <v>760</v>
      </c>
      <c r="V17" s="39" t="s">
        <v>761</v>
      </c>
      <c r="W17" s="39" t="s">
        <v>762</v>
      </c>
      <c r="X17" s="39" t="s">
        <v>763</v>
      </c>
      <c r="Y17" s="39" t="s">
        <v>764</v>
      </c>
      <c r="Z17" s="39" t="s">
        <v>921</v>
      </c>
      <c r="AA17" s="39" t="s">
        <v>788</v>
      </c>
      <c r="AB17" s="39" t="s">
        <v>898</v>
      </c>
      <c r="AC17" s="39" t="s">
        <v>790</v>
      </c>
      <c r="AD17" s="39" t="s">
        <v>789</v>
      </c>
    </row>
    <row r="18" spans="1:30" ht="62.25">
      <c r="A18" s="116" t="s">
        <v>9</v>
      </c>
      <c r="B18" s="116"/>
      <c r="C18" s="116"/>
      <c r="D18" s="117" t="s">
        <v>11</v>
      </c>
      <c r="E18" s="112"/>
      <c r="F18" s="112"/>
      <c r="G18" s="112"/>
      <c r="H18" s="112"/>
      <c r="I18" s="112"/>
      <c r="J18" s="112"/>
      <c r="K18" s="39">
        <f>K19</f>
        <v>1455151.54</v>
      </c>
      <c r="L18" s="39">
        <f aca="true" t="shared" si="3" ref="L18:Z19">L19</f>
        <v>0</v>
      </c>
      <c r="M18" s="39">
        <f t="shared" si="3"/>
        <v>0</v>
      </c>
      <c r="N18" s="39">
        <f t="shared" si="3"/>
        <v>215000</v>
      </c>
      <c r="O18" s="39">
        <f t="shared" si="3"/>
        <v>200000</v>
      </c>
      <c r="P18" s="39">
        <f t="shared" si="3"/>
        <v>-200000</v>
      </c>
      <c r="Q18" s="39">
        <f t="shared" si="3"/>
        <v>1240151.54</v>
      </c>
      <c r="R18" s="39">
        <f t="shared" si="3"/>
        <v>0</v>
      </c>
      <c r="S18" s="39">
        <f t="shared" si="3"/>
        <v>0</v>
      </c>
      <c r="T18" s="39">
        <f t="shared" si="3"/>
        <v>0</v>
      </c>
      <c r="U18" s="39">
        <f t="shared" si="3"/>
        <v>0</v>
      </c>
      <c r="V18" s="39">
        <f t="shared" si="3"/>
        <v>0</v>
      </c>
      <c r="W18" s="39">
        <f t="shared" si="3"/>
        <v>0</v>
      </c>
      <c r="X18" s="39">
        <f t="shared" si="3"/>
        <v>0</v>
      </c>
      <c r="Y18" s="118">
        <f aca="true" t="shared" si="4" ref="Y18:Y89">K18-M18-N18-O18-P18-Q18-R18-S18-T18-U18-V18-W18-X18</f>
        <v>0</v>
      </c>
      <c r="Z18" s="39">
        <f t="shared" si="3"/>
        <v>0</v>
      </c>
      <c r="AA18" s="118">
        <f>M18+N18+O18+P18+Q18+R18+S18-Z18</f>
        <v>1455151.54</v>
      </c>
      <c r="AB18" s="118"/>
      <c r="AC18" s="24"/>
      <c r="AD18" s="118">
        <f>K18-Z18+AC18-AB18</f>
        <v>1455151.54</v>
      </c>
    </row>
    <row r="19" spans="1:30" ht="62.25">
      <c r="A19" s="116" t="s">
        <v>10</v>
      </c>
      <c r="B19" s="116"/>
      <c r="C19" s="116"/>
      <c r="D19" s="117" t="s">
        <v>11</v>
      </c>
      <c r="E19" s="112"/>
      <c r="F19" s="112"/>
      <c r="G19" s="112"/>
      <c r="H19" s="112"/>
      <c r="I19" s="112"/>
      <c r="J19" s="112"/>
      <c r="K19" s="39">
        <f>K20</f>
        <v>1455151.54</v>
      </c>
      <c r="L19" s="39">
        <f t="shared" si="3"/>
        <v>0</v>
      </c>
      <c r="M19" s="39">
        <f t="shared" si="3"/>
        <v>0</v>
      </c>
      <c r="N19" s="39">
        <f t="shared" si="3"/>
        <v>215000</v>
      </c>
      <c r="O19" s="39">
        <f t="shared" si="3"/>
        <v>200000</v>
      </c>
      <c r="P19" s="39">
        <f t="shared" si="3"/>
        <v>-200000</v>
      </c>
      <c r="Q19" s="39">
        <f t="shared" si="3"/>
        <v>1240151.54</v>
      </c>
      <c r="R19" s="39">
        <f t="shared" si="3"/>
        <v>0</v>
      </c>
      <c r="S19" s="39">
        <f t="shared" si="3"/>
        <v>0</v>
      </c>
      <c r="T19" s="39">
        <f t="shared" si="3"/>
        <v>0</v>
      </c>
      <c r="U19" s="39">
        <f t="shared" si="3"/>
        <v>0</v>
      </c>
      <c r="V19" s="39">
        <f t="shared" si="3"/>
        <v>0</v>
      </c>
      <c r="W19" s="39">
        <f t="shared" si="3"/>
        <v>0</v>
      </c>
      <c r="X19" s="39">
        <f t="shared" si="3"/>
        <v>0</v>
      </c>
      <c r="Y19" s="118">
        <f t="shared" si="4"/>
        <v>0</v>
      </c>
      <c r="Z19" s="39">
        <f t="shared" si="3"/>
        <v>0</v>
      </c>
      <c r="AA19" s="118">
        <f aca="true" t="shared" si="5" ref="AA19:AA82">M19+N19+O19+P19+Q19+R19+S19-Z19</f>
        <v>1455151.54</v>
      </c>
      <c r="AB19" s="118"/>
      <c r="AC19" s="24"/>
      <c r="AD19" s="118">
        <f aca="true" t="shared" si="6" ref="AD19:AD82">K19-Z19+AC19-AB19</f>
        <v>1455151.54</v>
      </c>
    </row>
    <row r="20" spans="1:30" s="22" customFormat="1" ht="15">
      <c r="A20" s="171" t="s">
        <v>32</v>
      </c>
      <c r="B20" s="171" t="s">
        <v>29</v>
      </c>
      <c r="C20" s="171" t="s">
        <v>30</v>
      </c>
      <c r="D20" s="172" t="s">
        <v>31</v>
      </c>
      <c r="E20" s="112"/>
      <c r="F20" s="112"/>
      <c r="G20" s="112"/>
      <c r="H20" s="112"/>
      <c r="I20" s="112"/>
      <c r="J20" s="112"/>
      <c r="K20" s="39">
        <f>SUM(K21:K23)</f>
        <v>1455151.54</v>
      </c>
      <c r="L20" s="39">
        <f aca="true" t="shared" si="7" ref="L20:X20">SUM(L21:L23)</f>
        <v>0</v>
      </c>
      <c r="M20" s="39">
        <f t="shared" si="7"/>
        <v>0</v>
      </c>
      <c r="N20" s="39">
        <f t="shared" si="7"/>
        <v>215000</v>
      </c>
      <c r="O20" s="39">
        <f t="shared" si="7"/>
        <v>200000</v>
      </c>
      <c r="P20" s="39">
        <f t="shared" si="7"/>
        <v>-200000</v>
      </c>
      <c r="Q20" s="39">
        <f t="shared" si="7"/>
        <v>1240151.54</v>
      </c>
      <c r="R20" s="39">
        <f t="shared" si="7"/>
        <v>0</v>
      </c>
      <c r="S20" s="39">
        <f t="shared" si="7"/>
        <v>0</v>
      </c>
      <c r="T20" s="39">
        <f t="shared" si="7"/>
        <v>0</v>
      </c>
      <c r="U20" s="39">
        <f t="shared" si="7"/>
        <v>0</v>
      </c>
      <c r="V20" s="39">
        <f t="shared" si="7"/>
        <v>0</v>
      </c>
      <c r="W20" s="39">
        <f t="shared" si="7"/>
        <v>0</v>
      </c>
      <c r="X20" s="39">
        <f t="shared" si="7"/>
        <v>0</v>
      </c>
      <c r="Y20" s="118">
        <f t="shared" si="4"/>
        <v>0</v>
      </c>
      <c r="Z20" s="39">
        <f>SUM(Z21:Z23)</f>
        <v>0</v>
      </c>
      <c r="AA20" s="118">
        <f t="shared" si="5"/>
        <v>1455151.54</v>
      </c>
      <c r="AB20" s="118"/>
      <c r="AC20" s="24"/>
      <c r="AD20" s="118">
        <f t="shared" si="6"/>
        <v>1455151.54</v>
      </c>
    </row>
    <row r="21" spans="1:30" s="22" customFormat="1" ht="30.75">
      <c r="A21" s="171"/>
      <c r="B21" s="171"/>
      <c r="C21" s="171"/>
      <c r="D21" s="172"/>
      <c r="E21" s="26" t="s">
        <v>576</v>
      </c>
      <c r="F21" s="97">
        <v>2004</v>
      </c>
      <c r="G21" s="25"/>
      <c r="H21" s="25"/>
      <c r="I21" s="25"/>
      <c r="J21" s="25">
        <v>3160</v>
      </c>
      <c r="K21" s="24">
        <v>1240151.54</v>
      </c>
      <c r="L21" s="39"/>
      <c r="M21" s="24"/>
      <c r="N21" s="24"/>
      <c r="O21" s="24"/>
      <c r="P21" s="24"/>
      <c r="Q21" s="24">
        <v>1240151.54</v>
      </c>
      <c r="R21" s="24"/>
      <c r="S21" s="24"/>
      <c r="T21" s="24"/>
      <c r="U21" s="24"/>
      <c r="V21" s="24"/>
      <c r="W21" s="24"/>
      <c r="X21" s="24"/>
      <c r="Y21" s="118">
        <f t="shared" si="4"/>
        <v>0</v>
      </c>
      <c r="Z21" s="24"/>
      <c r="AA21" s="118">
        <f t="shared" si="5"/>
        <v>1240151.54</v>
      </c>
      <c r="AB21" s="118"/>
      <c r="AC21" s="24"/>
      <c r="AD21" s="118">
        <f t="shared" si="6"/>
        <v>1240151.54</v>
      </c>
    </row>
    <row r="22" spans="1:30" s="22" customFormat="1" ht="30.75">
      <c r="A22" s="171"/>
      <c r="B22" s="171"/>
      <c r="C22" s="171"/>
      <c r="D22" s="172"/>
      <c r="E22" s="26" t="s">
        <v>193</v>
      </c>
      <c r="F22" s="97">
        <v>2005</v>
      </c>
      <c r="G22" s="25"/>
      <c r="H22" s="25"/>
      <c r="I22" s="25"/>
      <c r="J22" s="25">
        <v>3110</v>
      </c>
      <c r="K22" s="24">
        <v>215000</v>
      </c>
      <c r="L22" s="39"/>
      <c r="M22" s="24"/>
      <c r="N22" s="24">
        <v>215000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118">
        <f t="shared" si="4"/>
        <v>0</v>
      </c>
      <c r="Z22" s="24"/>
      <c r="AA22" s="118">
        <f t="shared" si="5"/>
        <v>215000</v>
      </c>
      <c r="AB22" s="118"/>
      <c r="AC22" s="24"/>
      <c r="AD22" s="118">
        <f t="shared" si="6"/>
        <v>215000</v>
      </c>
    </row>
    <row r="23" spans="1:30" s="22" customFormat="1" ht="21" hidden="1">
      <c r="A23" s="171"/>
      <c r="B23" s="171"/>
      <c r="C23" s="171"/>
      <c r="D23" s="172"/>
      <c r="E23" s="26" t="s">
        <v>577</v>
      </c>
      <c r="F23" s="97">
        <v>2006</v>
      </c>
      <c r="G23" s="25"/>
      <c r="H23" s="25"/>
      <c r="I23" s="25"/>
      <c r="J23" s="25"/>
      <c r="K23" s="24">
        <f>200000-200000</f>
        <v>0</v>
      </c>
      <c r="L23" s="39"/>
      <c r="M23" s="24"/>
      <c r="N23" s="24"/>
      <c r="O23" s="24">
        <v>200000</v>
      </c>
      <c r="P23" s="24">
        <v>-200000</v>
      </c>
      <c r="Q23" s="24"/>
      <c r="R23" s="24"/>
      <c r="S23" s="24"/>
      <c r="T23" s="24"/>
      <c r="U23" s="24"/>
      <c r="V23" s="24"/>
      <c r="W23" s="24"/>
      <c r="X23" s="24"/>
      <c r="Y23" s="118">
        <f t="shared" si="4"/>
        <v>0</v>
      </c>
      <c r="Z23" s="24"/>
      <c r="AA23" s="118">
        <f t="shared" si="5"/>
        <v>0</v>
      </c>
      <c r="AB23" s="118"/>
      <c r="AC23" s="24"/>
      <c r="AD23" s="118">
        <f t="shared" si="6"/>
        <v>0</v>
      </c>
    </row>
    <row r="24" spans="1:30" ht="30.75">
      <c r="A24" s="114" t="s">
        <v>2</v>
      </c>
      <c r="B24" s="119"/>
      <c r="C24" s="120"/>
      <c r="D24" s="112" t="s">
        <v>8</v>
      </c>
      <c r="E24" s="28"/>
      <c r="F24" s="99"/>
      <c r="G24" s="20"/>
      <c r="H24" s="20"/>
      <c r="I24" s="20"/>
      <c r="J24" s="20"/>
      <c r="K24" s="23">
        <f>K25</f>
        <v>101885894.75000001</v>
      </c>
      <c r="L24" s="23">
        <f aca="true" t="shared" si="8" ref="L24:Z24">L25</f>
        <v>15400</v>
      </c>
      <c r="M24" s="23">
        <f t="shared" si="8"/>
        <v>0</v>
      </c>
      <c r="N24" s="23">
        <f t="shared" si="8"/>
        <v>2440474.55</v>
      </c>
      <c r="O24" s="23">
        <f t="shared" si="8"/>
        <v>20928125.35</v>
      </c>
      <c r="P24" s="23">
        <f t="shared" si="8"/>
        <v>6297834.399999999</v>
      </c>
      <c r="Q24" s="23">
        <f t="shared" si="8"/>
        <v>4275812.9</v>
      </c>
      <c r="R24" s="23">
        <f t="shared" si="8"/>
        <v>-497695.2700000001</v>
      </c>
      <c r="S24" s="23">
        <f t="shared" si="8"/>
        <v>3619756.5000000005</v>
      </c>
      <c r="T24" s="23">
        <f t="shared" si="8"/>
        <v>12786869</v>
      </c>
      <c r="U24" s="23">
        <f t="shared" si="8"/>
        <v>6076903.4799999995</v>
      </c>
      <c r="V24" s="23">
        <f t="shared" si="8"/>
        <v>14500172.04</v>
      </c>
      <c r="W24" s="23">
        <f t="shared" si="8"/>
        <v>16280752.989999998</v>
      </c>
      <c r="X24" s="23">
        <f t="shared" si="8"/>
        <v>15176888.81</v>
      </c>
      <c r="Y24" s="118">
        <f t="shared" si="4"/>
        <v>0</v>
      </c>
      <c r="Z24" s="23">
        <f t="shared" si="8"/>
        <v>31624637.61</v>
      </c>
      <c r="AA24" s="118">
        <f t="shared" si="5"/>
        <v>5439670.820000008</v>
      </c>
      <c r="AB24" s="118"/>
      <c r="AC24" s="24"/>
      <c r="AD24" s="118">
        <f t="shared" si="6"/>
        <v>70261257.14000002</v>
      </c>
    </row>
    <row r="25" spans="1:30" ht="30.75">
      <c r="A25" s="114" t="s">
        <v>3</v>
      </c>
      <c r="B25" s="119"/>
      <c r="C25" s="120"/>
      <c r="D25" s="112" t="s">
        <v>8</v>
      </c>
      <c r="E25" s="28"/>
      <c r="F25" s="99"/>
      <c r="G25" s="20"/>
      <c r="H25" s="20"/>
      <c r="I25" s="20"/>
      <c r="J25" s="20"/>
      <c r="K25" s="23">
        <f>K26+K39+K65+K70+K79+K86+K92+K122+K271+K281+K294+K88+K90+K288+K120+K320+K76+K286</f>
        <v>101885894.75000001</v>
      </c>
      <c r="L25" s="23">
        <f aca="true" t="shared" si="9" ref="L25:Z25">L26+L39+L65+L70+L79+L86+L92+L122+L271+L281+L294+L88+L90+L288+L120+L320+L76+L286</f>
        <v>15400</v>
      </c>
      <c r="M25" s="23">
        <f t="shared" si="9"/>
        <v>0</v>
      </c>
      <c r="N25" s="23">
        <f t="shared" si="9"/>
        <v>2440474.55</v>
      </c>
      <c r="O25" s="23">
        <f t="shared" si="9"/>
        <v>20928125.35</v>
      </c>
      <c r="P25" s="23">
        <f t="shared" si="9"/>
        <v>6297834.399999999</v>
      </c>
      <c r="Q25" s="23">
        <f t="shared" si="9"/>
        <v>4275812.9</v>
      </c>
      <c r="R25" s="23">
        <f t="shared" si="9"/>
        <v>-497695.2700000001</v>
      </c>
      <c r="S25" s="23">
        <f t="shared" si="9"/>
        <v>3619756.5000000005</v>
      </c>
      <c r="T25" s="23">
        <f t="shared" si="9"/>
        <v>12786869</v>
      </c>
      <c r="U25" s="23">
        <f t="shared" si="9"/>
        <v>6076903.4799999995</v>
      </c>
      <c r="V25" s="23">
        <f t="shared" si="9"/>
        <v>14500172.04</v>
      </c>
      <c r="W25" s="23">
        <f t="shared" si="9"/>
        <v>16280752.989999998</v>
      </c>
      <c r="X25" s="23">
        <f t="shared" si="9"/>
        <v>15176888.81</v>
      </c>
      <c r="Y25" s="118">
        <f t="shared" si="4"/>
        <v>0</v>
      </c>
      <c r="Z25" s="23">
        <f t="shared" si="9"/>
        <v>31624637.61</v>
      </c>
      <c r="AA25" s="118">
        <f t="shared" si="5"/>
        <v>5439670.820000008</v>
      </c>
      <c r="AB25" s="118"/>
      <c r="AC25" s="24"/>
      <c r="AD25" s="118">
        <f t="shared" si="6"/>
        <v>70261257.14000002</v>
      </c>
    </row>
    <row r="26" spans="1:30" ht="21">
      <c r="A26" s="175" t="s">
        <v>33</v>
      </c>
      <c r="B26" s="178">
        <v>1010</v>
      </c>
      <c r="C26" s="175" t="s">
        <v>34</v>
      </c>
      <c r="D26" s="181" t="s">
        <v>35</v>
      </c>
      <c r="E26" s="28"/>
      <c r="F26" s="99"/>
      <c r="G26" s="20"/>
      <c r="H26" s="20"/>
      <c r="I26" s="20"/>
      <c r="J26" s="20"/>
      <c r="K26" s="23">
        <f>SUM(K27:K38)</f>
        <v>938986</v>
      </c>
      <c r="L26" s="23">
        <f aca="true" t="shared" si="10" ref="L26:X26">SUM(L27:L38)</f>
        <v>0</v>
      </c>
      <c r="M26" s="23">
        <f t="shared" si="10"/>
        <v>0</v>
      </c>
      <c r="N26" s="23">
        <f t="shared" si="10"/>
        <v>0</v>
      </c>
      <c r="O26" s="23">
        <f t="shared" si="10"/>
        <v>73813</v>
      </c>
      <c r="P26" s="23">
        <f t="shared" si="10"/>
        <v>0</v>
      </c>
      <c r="Q26" s="23">
        <f t="shared" si="10"/>
        <v>83173</v>
      </c>
      <c r="R26" s="23">
        <f t="shared" si="10"/>
        <v>0</v>
      </c>
      <c r="S26" s="23">
        <f t="shared" si="10"/>
        <v>0</v>
      </c>
      <c r="T26" s="23">
        <f t="shared" si="10"/>
        <v>0</v>
      </c>
      <c r="U26" s="23">
        <f t="shared" si="10"/>
        <v>0</v>
      </c>
      <c r="V26" s="23">
        <f t="shared" si="10"/>
        <v>0</v>
      </c>
      <c r="W26" s="23">
        <f t="shared" si="10"/>
        <v>782000</v>
      </c>
      <c r="X26" s="23">
        <f t="shared" si="10"/>
        <v>0</v>
      </c>
      <c r="Y26" s="118">
        <f t="shared" si="4"/>
        <v>0</v>
      </c>
      <c r="Z26" s="23">
        <f>SUM(Z27:Z38)</f>
        <v>0</v>
      </c>
      <c r="AA26" s="118">
        <f t="shared" si="5"/>
        <v>156986</v>
      </c>
      <c r="AB26" s="118"/>
      <c r="AC26" s="24"/>
      <c r="AD26" s="118">
        <f t="shared" si="6"/>
        <v>938986</v>
      </c>
    </row>
    <row r="27" spans="1:30" ht="21">
      <c r="A27" s="176"/>
      <c r="B27" s="179"/>
      <c r="C27" s="176"/>
      <c r="D27" s="182"/>
      <c r="E27" s="19" t="s">
        <v>419</v>
      </c>
      <c r="F27" s="96">
        <v>2007</v>
      </c>
      <c r="G27" s="58"/>
      <c r="H27" s="20"/>
      <c r="I27" s="58"/>
      <c r="J27" s="58">
        <v>3110</v>
      </c>
      <c r="K27" s="20">
        <v>150000</v>
      </c>
      <c r="L27" s="34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>
        <v>150000</v>
      </c>
      <c r="X27" s="20"/>
      <c r="Y27" s="118">
        <f t="shared" si="4"/>
        <v>0</v>
      </c>
      <c r="Z27" s="24"/>
      <c r="AA27" s="118">
        <f t="shared" si="5"/>
        <v>0</v>
      </c>
      <c r="AB27" s="118"/>
      <c r="AC27" s="24"/>
      <c r="AD27" s="118">
        <f t="shared" si="6"/>
        <v>150000</v>
      </c>
    </row>
    <row r="28" spans="1:30" ht="21">
      <c r="A28" s="176"/>
      <c r="B28" s="179"/>
      <c r="C28" s="176"/>
      <c r="D28" s="182"/>
      <c r="E28" s="19" t="s">
        <v>644</v>
      </c>
      <c r="F28" s="96">
        <v>2008</v>
      </c>
      <c r="G28" s="58"/>
      <c r="H28" s="20"/>
      <c r="I28" s="58"/>
      <c r="J28" s="58">
        <v>3110</v>
      </c>
      <c r="K28" s="20">
        <v>80000</v>
      </c>
      <c r="L28" s="34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>
        <v>80000</v>
      </c>
      <c r="X28" s="20"/>
      <c r="Y28" s="118">
        <f t="shared" si="4"/>
        <v>0</v>
      </c>
      <c r="Z28" s="24"/>
      <c r="AA28" s="118">
        <f t="shared" si="5"/>
        <v>0</v>
      </c>
      <c r="AB28" s="118"/>
      <c r="AC28" s="24"/>
      <c r="AD28" s="118">
        <f t="shared" si="6"/>
        <v>80000</v>
      </c>
    </row>
    <row r="29" spans="1:30" ht="21">
      <c r="A29" s="176"/>
      <c r="B29" s="179"/>
      <c r="C29" s="176"/>
      <c r="D29" s="182"/>
      <c r="E29" s="19" t="s">
        <v>418</v>
      </c>
      <c r="F29" s="96">
        <v>2009</v>
      </c>
      <c r="G29" s="58"/>
      <c r="H29" s="20"/>
      <c r="I29" s="58"/>
      <c r="J29" s="58">
        <v>3110</v>
      </c>
      <c r="K29" s="20">
        <v>20000</v>
      </c>
      <c r="L29" s="121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20000</v>
      </c>
      <c r="X29" s="20"/>
      <c r="Y29" s="118">
        <f t="shared" si="4"/>
        <v>0</v>
      </c>
      <c r="Z29" s="24"/>
      <c r="AA29" s="118">
        <f t="shared" si="5"/>
        <v>0</v>
      </c>
      <c r="AB29" s="118"/>
      <c r="AC29" s="24"/>
      <c r="AD29" s="118">
        <f t="shared" si="6"/>
        <v>20000</v>
      </c>
    </row>
    <row r="30" spans="1:30" ht="21">
      <c r="A30" s="176"/>
      <c r="B30" s="179"/>
      <c r="C30" s="176"/>
      <c r="D30" s="182"/>
      <c r="E30" s="19" t="s">
        <v>645</v>
      </c>
      <c r="F30" s="96">
        <v>2010</v>
      </c>
      <c r="G30" s="58"/>
      <c r="H30" s="20"/>
      <c r="I30" s="58"/>
      <c r="J30" s="58">
        <v>3110</v>
      </c>
      <c r="K30" s="20">
        <v>80000</v>
      </c>
      <c r="L30" s="34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80000</v>
      </c>
      <c r="X30" s="20"/>
      <c r="Y30" s="118">
        <f t="shared" si="4"/>
        <v>0</v>
      </c>
      <c r="Z30" s="24"/>
      <c r="AA30" s="118">
        <f t="shared" si="5"/>
        <v>0</v>
      </c>
      <c r="AB30" s="118"/>
      <c r="AC30" s="24"/>
      <c r="AD30" s="118">
        <f t="shared" si="6"/>
        <v>80000</v>
      </c>
    </row>
    <row r="31" spans="1:30" ht="21">
      <c r="A31" s="176"/>
      <c r="B31" s="179"/>
      <c r="C31" s="176"/>
      <c r="D31" s="182"/>
      <c r="E31" s="26" t="s">
        <v>420</v>
      </c>
      <c r="F31" s="96">
        <v>2011</v>
      </c>
      <c r="G31" s="58"/>
      <c r="H31" s="20"/>
      <c r="I31" s="58"/>
      <c r="J31" s="58">
        <v>3110</v>
      </c>
      <c r="K31" s="20">
        <v>75000</v>
      </c>
      <c r="L31" s="34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75000</v>
      </c>
      <c r="X31" s="20"/>
      <c r="Y31" s="118">
        <f t="shared" si="4"/>
        <v>0</v>
      </c>
      <c r="Z31" s="24"/>
      <c r="AA31" s="118">
        <f t="shared" si="5"/>
        <v>0</v>
      </c>
      <c r="AB31" s="118"/>
      <c r="AC31" s="24"/>
      <c r="AD31" s="118">
        <f t="shared" si="6"/>
        <v>75000</v>
      </c>
    </row>
    <row r="32" spans="1:30" ht="21">
      <c r="A32" s="176"/>
      <c r="B32" s="179"/>
      <c r="C32" s="176"/>
      <c r="D32" s="182"/>
      <c r="E32" s="19" t="s">
        <v>416</v>
      </c>
      <c r="F32" s="96">
        <v>2012</v>
      </c>
      <c r="G32" s="58"/>
      <c r="H32" s="20"/>
      <c r="I32" s="58"/>
      <c r="J32" s="58">
        <v>3110</v>
      </c>
      <c r="K32" s="20">
        <v>120000</v>
      </c>
      <c r="L32" s="34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120000</v>
      </c>
      <c r="X32" s="20"/>
      <c r="Y32" s="118">
        <f t="shared" si="4"/>
        <v>0</v>
      </c>
      <c r="Z32" s="24"/>
      <c r="AA32" s="118">
        <f t="shared" si="5"/>
        <v>0</v>
      </c>
      <c r="AB32" s="118"/>
      <c r="AC32" s="24"/>
      <c r="AD32" s="118">
        <f t="shared" si="6"/>
        <v>120000</v>
      </c>
    </row>
    <row r="33" spans="1:30" ht="21" hidden="1">
      <c r="A33" s="176"/>
      <c r="B33" s="179"/>
      <c r="C33" s="176"/>
      <c r="D33" s="182"/>
      <c r="E33" s="19" t="s">
        <v>417</v>
      </c>
      <c r="F33" s="96">
        <v>2013</v>
      </c>
      <c r="G33" s="58"/>
      <c r="H33" s="20"/>
      <c r="I33" s="58"/>
      <c r="J33" s="58">
        <v>3110</v>
      </c>
      <c r="K33" s="20">
        <f>20000-20000</f>
        <v>0</v>
      </c>
      <c r="L33" s="34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f>20000-20000</f>
        <v>0</v>
      </c>
      <c r="X33" s="20"/>
      <c r="Y33" s="118">
        <f t="shared" si="4"/>
        <v>0</v>
      </c>
      <c r="Z33" s="24"/>
      <c r="AA33" s="118">
        <f t="shared" si="5"/>
        <v>0</v>
      </c>
      <c r="AB33" s="118"/>
      <c r="AC33" s="24"/>
      <c r="AD33" s="118">
        <f t="shared" si="6"/>
        <v>0</v>
      </c>
    </row>
    <row r="34" spans="1:30" ht="21">
      <c r="A34" s="176"/>
      <c r="B34" s="179"/>
      <c r="C34" s="176"/>
      <c r="D34" s="182"/>
      <c r="E34" s="19" t="s">
        <v>646</v>
      </c>
      <c r="F34" s="96">
        <v>2014</v>
      </c>
      <c r="G34" s="58"/>
      <c r="H34" s="20"/>
      <c r="I34" s="58"/>
      <c r="J34" s="58">
        <v>3110</v>
      </c>
      <c r="K34" s="20">
        <v>80000</v>
      </c>
      <c r="L34" s="34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>
        <v>80000</v>
      </c>
      <c r="X34" s="20"/>
      <c r="Y34" s="118">
        <f t="shared" si="4"/>
        <v>0</v>
      </c>
      <c r="Z34" s="24"/>
      <c r="AA34" s="118">
        <f t="shared" si="5"/>
        <v>0</v>
      </c>
      <c r="AB34" s="118"/>
      <c r="AC34" s="24"/>
      <c r="AD34" s="118">
        <f t="shared" si="6"/>
        <v>80000</v>
      </c>
    </row>
    <row r="35" spans="1:30" ht="21">
      <c r="A35" s="176"/>
      <c r="B35" s="179"/>
      <c r="C35" s="176"/>
      <c r="D35" s="182"/>
      <c r="E35" s="19" t="s">
        <v>647</v>
      </c>
      <c r="F35" s="96">
        <v>2015</v>
      </c>
      <c r="G35" s="58"/>
      <c r="H35" s="20"/>
      <c r="I35" s="58"/>
      <c r="J35" s="58">
        <v>3110</v>
      </c>
      <c r="K35" s="20">
        <v>80000</v>
      </c>
      <c r="L35" s="34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>
        <v>80000</v>
      </c>
      <c r="X35" s="20"/>
      <c r="Y35" s="118">
        <f t="shared" si="4"/>
        <v>0</v>
      </c>
      <c r="Z35" s="24"/>
      <c r="AA35" s="118">
        <f t="shared" si="5"/>
        <v>0</v>
      </c>
      <c r="AB35" s="118"/>
      <c r="AC35" s="24"/>
      <c r="AD35" s="118">
        <f t="shared" si="6"/>
        <v>80000</v>
      </c>
    </row>
    <row r="36" spans="1:30" ht="21">
      <c r="A36" s="176"/>
      <c r="B36" s="179"/>
      <c r="C36" s="176"/>
      <c r="D36" s="182"/>
      <c r="E36" s="26" t="s">
        <v>421</v>
      </c>
      <c r="F36" s="96">
        <v>2016</v>
      </c>
      <c r="G36" s="58"/>
      <c r="H36" s="20"/>
      <c r="I36" s="58"/>
      <c r="J36" s="58">
        <v>3110</v>
      </c>
      <c r="K36" s="20">
        <v>97000</v>
      </c>
      <c r="L36" s="34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>
        <v>97000</v>
      </c>
      <c r="X36" s="20"/>
      <c r="Y36" s="118">
        <f t="shared" si="4"/>
        <v>0</v>
      </c>
      <c r="Z36" s="24"/>
      <c r="AA36" s="118">
        <f t="shared" si="5"/>
        <v>0</v>
      </c>
      <c r="AB36" s="118"/>
      <c r="AC36" s="24"/>
      <c r="AD36" s="118">
        <f t="shared" si="6"/>
        <v>97000</v>
      </c>
    </row>
    <row r="37" spans="1:30" ht="103.5" customHeight="1">
      <c r="A37" s="176"/>
      <c r="B37" s="179"/>
      <c r="C37" s="176"/>
      <c r="D37" s="182"/>
      <c r="E37" s="26" t="s">
        <v>794</v>
      </c>
      <c r="F37" s="96">
        <v>2558</v>
      </c>
      <c r="G37" s="58"/>
      <c r="H37" s="20"/>
      <c r="I37" s="58"/>
      <c r="J37" s="58">
        <v>3110</v>
      </c>
      <c r="K37" s="20">
        <v>73813</v>
      </c>
      <c r="L37" s="34"/>
      <c r="M37" s="20"/>
      <c r="N37" s="20"/>
      <c r="O37" s="20">
        <v>73813</v>
      </c>
      <c r="P37" s="20"/>
      <c r="Q37" s="20"/>
      <c r="R37" s="20"/>
      <c r="S37" s="20"/>
      <c r="T37" s="20"/>
      <c r="U37" s="20"/>
      <c r="V37" s="20"/>
      <c r="W37" s="20"/>
      <c r="X37" s="20"/>
      <c r="Y37" s="118">
        <f t="shared" si="4"/>
        <v>0</v>
      </c>
      <c r="Z37" s="24"/>
      <c r="AA37" s="118">
        <f t="shared" si="5"/>
        <v>73813</v>
      </c>
      <c r="AB37" s="118"/>
      <c r="AC37" s="24"/>
      <c r="AD37" s="118">
        <f t="shared" si="6"/>
        <v>73813</v>
      </c>
    </row>
    <row r="38" spans="1:30" ht="79.5" customHeight="1">
      <c r="A38" s="177"/>
      <c r="B38" s="180"/>
      <c r="C38" s="177"/>
      <c r="D38" s="183"/>
      <c r="E38" s="26" t="s">
        <v>677</v>
      </c>
      <c r="F38" s="96">
        <v>2001</v>
      </c>
      <c r="G38" s="58"/>
      <c r="H38" s="20"/>
      <c r="I38" s="58"/>
      <c r="J38" s="58">
        <v>3110</v>
      </c>
      <c r="K38" s="20">
        <v>83173</v>
      </c>
      <c r="L38" s="34"/>
      <c r="M38" s="20"/>
      <c r="N38" s="20"/>
      <c r="O38" s="20"/>
      <c r="P38" s="20"/>
      <c r="Q38" s="20">
        <v>83173</v>
      </c>
      <c r="R38" s="20"/>
      <c r="S38" s="20"/>
      <c r="T38" s="20"/>
      <c r="U38" s="20"/>
      <c r="V38" s="20"/>
      <c r="W38" s="20"/>
      <c r="X38" s="20"/>
      <c r="Y38" s="118">
        <f t="shared" si="4"/>
        <v>0</v>
      </c>
      <c r="Z38" s="24"/>
      <c r="AA38" s="118">
        <f t="shared" si="5"/>
        <v>83173</v>
      </c>
      <c r="AB38" s="118"/>
      <c r="AC38" s="24"/>
      <c r="AD38" s="118">
        <f t="shared" si="6"/>
        <v>83173</v>
      </c>
    </row>
    <row r="39" spans="1:30" ht="15" customHeight="1">
      <c r="A39" s="173" t="s">
        <v>36</v>
      </c>
      <c r="B39" s="174">
        <v>1020</v>
      </c>
      <c r="C39" s="173" t="s">
        <v>37</v>
      </c>
      <c r="D39" s="184" t="s">
        <v>190</v>
      </c>
      <c r="E39" s="19"/>
      <c r="F39" s="96"/>
      <c r="G39" s="20"/>
      <c r="H39" s="24"/>
      <c r="I39" s="33"/>
      <c r="J39" s="33"/>
      <c r="K39" s="23">
        <f>SUM(K40:K64)</f>
        <v>3867642.3</v>
      </c>
      <c r="L39" s="23">
        <f aca="true" t="shared" si="11" ref="L39:Z39">SUM(L40:L64)</f>
        <v>0</v>
      </c>
      <c r="M39" s="23">
        <f t="shared" si="11"/>
        <v>0</v>
      </c>
      <c r="N39" s="23">
        <f t="shared" si="11"/>
        <v>0</v>
      </c>
      <c r="O39" s="23">
        <f t="shared" si="11"/>
        <v>2173820.3</v>
      </c>
      <c r="P39" s="23">
        <f t="shared" si="11"/>
        <v>10000</v>
      </c>
      <c r="Q39" s="23">
        <f t="shared" si="11"/>
        <v>60280</v>
      </c>
      <c r="R39" s="23">
        <f t="shared" si="11"/>
        <v>0</v>
      </c>
      <c r="S39" s="23">
        <f t="shared" si="11"/>
        <v>-400000</v>
      </c>
      <c r="T39" s="23">
        <f t="shared" si="11"/>
        <v>454542</v>
      </c>
      <c r="U39" s="23">
        <f t="shared" si="11"/>
        <v>179000</v>
      </c>
      <c r="V39" s="23">
        <f t="shared" si="11"/>
        <v>0</v>
      </c>
      <c r="W39" s="23">
        <f t="shared" si="11"/>
        <v>1090000</v>
      </c>
      <c r="X39" s="23">
        <f t="shared" si="11"/>
        <v>300000</v>
      </c>
      <c r="Y39" s="118">
        <f t="shared" si="4"/>
        <v>0</v>
      </c>
      <c r="Z39" s="23">
        <f t="shared" si="11"/>
        <v>1616289.48</v>
      </c>
      <c r="AA39" s="118">
        <f t="shared" si="5"/>
        <v>227810.81999999983</v>
      </c>
      <c r="AB39" s="118"/>
      <c r="AC39" s="24"/>
      <c r="AD39" s="118">
        <f t="shared" si="6"/>
        <v>2251352.82</v>
      </c>
    </row>
    <row r="40" spans="1:30" ht="77.25" customHeight="1">
      <c r="A40" s="173"/>
      <c r="B40" s="174"/>
      <c r="C40" s="173"/>
      <c r="D40" s="184"/>
      <c r="E40" s="19" t="s">
        <v>677</v>
      </c>
      <c r="F40" s="96">
        <v>2002</v>
      </c>
      <c r="G40" s="20"/>
      <c r="H40" s="24"/>
      <c r="I40" s="33"/>
      <c r="J40" s="58">
        <v>3110</v>
      </c>
      <c r="K40" s="20">
        <v>293822</v>
      </c>
      <c r="L40" s="50"/>
      <c r="M40" s="20"/>
      <c r="N40" s="20"/>
      <c r="O40" s="20"/>
      <c r="P40" s="20"/>
      <c r="Q40" s="20">
        <v>60280</v>
      </c>
      <c r="R40" s="20"/>
      <c r="S40" s="20"/>
      <c r="T40" s="20">
        <v>233542</v>
      </c>
      <c r="U40" s="20"/>
      <c r="V40" s="20"/>
      <c r="W40" s="20"/>
      <c r="X40" s="20"/>
      <c r="Y40" s="118">
        <f t="shared" si="4"/>
        <v>0</v>
      </c>
      <c r="Z40" s="24"/>
      <c r="AA40" s="118">
        <f t="shared" si="5"/>
        <v>60280</v>
      </c>
      <c r="AB40" s="118"/>
      <c r="AC40" s="24"/>
      <c r="AD40" s="118">
        <f t="shared" si="6"/>
        <v>293822</v>
      </c>
    </row>
    <row r="41" spans="1:30" ht="108.75">
      <c r="A41" s="173"/>
      <c r="B41" s="174"/>
      <c r="C41" s="173"/>
      <c r="D41" s="184"/>
      <c r="E41" s="19" t="s">
        <v>795</v>
      </c>
      <c r="F41" s="96">
        <v>2559</v>
      </c>
      <c r="G41" s="20"/>
      <c r="H41" s="24"/>
      <c r="I41" s="33"/>
      <c r="J41" s="58">
        <v>3110</v>
      </c>
      <c r="K41" s="20">
        <v>163820.3</v>
      </c>
      <c r="L41" s="50"/>
      <c r="M41" s="20"/>
      <c r="N41" s="20"/>
      <c r="O41" s="20">
        <v>163820.3</v>
      </c>
      <c r="P41" s="20"/>
      <c r="Q41" s="20"/>
      <c r="R41" s="20"/>
      <c r="S41" s="20"/>
      <c r="T41" s="20"/>
      <c r="U41" s="20"/>
      <c r="V41" s="20"/>
      <c r="W41" s="20"/>
      <c r="X41" s="20"/>
      <c r="Y41" s="118">
        <f t="shared" si="4"/>
        <v>0</v>
      </c>
      <c r="Z41" s="24"/>
      <c r="AA41" s="118">
        <f t="shared" si="5"/>
        <v>163820.3</v>
      </c>
      <c r="AB41" s="118"/>
      <c r="AC41" s="24"/>
      <c r="AD41" s="118">
        <f t="shared" si="6"/>
        <v>163820.3</v>
      </c>
    </row>
    <row r="42" spans="1:30" ht="30.75">
      <c r="A42" s="173"/>
      <c r="B42" s="174"/>
      <c r="C42" s="173"/>
      <c r="D42" s="184"/>
      <c r="E42" s="19" t="s">
        <v>797</v>
      </c>
      <c r="F42" s="96">
        <v>2561</v>
      </c>
      <c r="G42" s="20"/>
      <c r="H42" s="24"/>
      <c r="I42" s="33"/>
      <c r="J42" s="58">
        <v>3110</v>
      </c>
      <c r="K42" s="20">
        <v>300000</v>
      </c>
      <c r="L42" s="5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>
        <v>300000</v>
      </c>
      <c r="Y42" s="118">
        <f t="shared" si="4"/>
        <v>0</v>
      </c>
      <c r="Z42" s="24"/>
      <c r="AA42" s="118">
        <f t="shared" si="5"/>
        <v>0</v>
      </c>
      <c r="AB42" s="118"/>
      <c r="AC42" s="24"/>
      <c r="AD42" s="118">
        <f t="shared" si="6"/>
        <v>300000</v>
      </c>
    </row>
    <row r="43" spans="1:30" ht="21">
      <c r="A43" s="173"/>
      <c r="B43" s="174"/>
      <c r="C43" s="173"/>
      <c r="D43" s="184"/>
      <c r="E43" s="19" t="s">
        <v>798</v>
      </c>
      <c r="F43" s="96">
        <v>2562</v>
      </c>
      <c r="G43" s="20"/>
      <c r="H43" s="24"/>
      <c r="I43" s="33"/>
      <c r="J43" s="58">
        <v>3110</v>
      </c>
      <c r="K43" s="20">
        <v>30000</v>
      </c>
      <c r="L43" s="50"/>
      <c r="M43" s="20"/>
      <c r="N43" s="20"/>
      <c r="O43" s="20">
        <v>20000</v>
      </c>
      <c r="P43" s="20">
        <v>10000</v>
      </c>
      <c r="Q43" s="20"/>
      <c r="R43" s="20"/>
      <c r="S43" s="20"/>
      <c r="T43" s="20"/>
      <c r="U43" s="20"/>
      <c r="V43" s="20"/>
      <c r="W43" s="20"/>
      <c r="X43" s="20"/>
      <c r="Y43" s="118">
        <f t="shared" si="4"/>
        <v>0</v>
      </c>
      <c r="Z43" s="24">
        <v>30000</v>
      </c>
      <c r="AA43" s="118">
        <f t="shared" si="5"/>
        <v>0</v>
      </c>
      <c r="AB43" s="118"/>
      <c r="AC43" s="24"/>
      <c r="AD43" s="118">
        <f t="shared" si="6"/>
        <v>0</v>
      </c>
    </row>
    <row r="44" spans="1:30" ht="30.75">
      <c r="A44" s="173"/>
      <c r="B44" s="174"/>
      <c r="C44" s="173"/>
      <c r="D44" s="184"/>
      <c r="E44" s="28" t="s">
        <v>424</v>
      </c>
      <c r="F44" s="96">
        <v>2017</v>
      </c>
      <c r="G44" s="58"/>
      <c r="H44" s="20"/>
      <c r="I44" s="58"/>
      <c r="J44" s="58">
        <v>3110</v>
      </c>
      <c r="K44" s="20">
        <v>200000</v>
      </c>
      <c r="L44" s="34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>
        <v>200000</v>
      </c>
      <c r="X44" s="20"/>
      <c r="Y44" s="118">
        <f t="shared" si="4"/>
        <v>0</v>
      </c>
      <c r="Z44" s="24"/>
      <c r="AA44" s="118">
        <f t="shared" si="5"/>
        <v>0</v>
      </c>
      <c r="AB44" s="118"/>
      <c r="AC44" s="24"/>
      <c r="AD44" s="118">
        <f t="shared" si="6"/>
        <v>200000</v>
      </c>
    </row>
    <row r="45" spans="1:30" ht="21">
      <c r="A45" s="173"/>
      <c r="B45" s="174"/>
      <c r="C45" s="173"/>
      <c r="D45" s="184"/>
      <c r="E45" s="28" t="s">
        <v>425</v>
      </c>
      <c r="F45" s="96">
        <v>2018</v>
      </c>
      <c r="G45" s="58"/>
      <c r="H45" s="20"/>
      <c r="I45" s="58"/>
      <c r="J45" s="58">
        <v>3110</v>
      </c>
      <c r="K45" s="20">
        <v>50000</v>
      </c>
      <c r="L45" s="34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50000</v>
      </c>
      <c r="X45" s="20"/>
      <c r="Y45" s="118">
        <f t="shared" si="4"/>
        <v>0</v>
      </c>
      <c r="Z45" s="24"/>
      <c r="AA45" s="118">
        <f t="shared" si="5"/>
        <v>0</v>
      </c>
      <c r="AB45" s="118"/>
      <c r="AC45" s="24"/>
      <c r="AD45" s="118">
        <f t="shared" si="6"/>
        <v>50000</v>
      </c>
    </row>
    <row r="46" spans="1:30" ht="30.75">
      <c r="A46" s="173"/>
      <c r="B46" s="174"/>
      <c r="C46" s="173"/>
      <c r="D46" s="184"/>
      <c r="E46" s="26" t="s">
        <v>428</v>
      </c>
      <c r="F46" s="96">
        <v>2019</v>
      </c>
      <c r="G46" s="58"/>
      <c r="H46" s="20"/>
      <c r="I46" s="58"/>
      <c r="J46" s="58">
        <v>3110</v>
      </c>
      <c r="K46" s="20">
        <v>195000</v>
      </c>
      <c r="L46" s="34"/>
      <c r="M46" s="20"/>
      <c r="N46" s="20"/>
      <c r="O46" s="20">
        <f>195000</f>
        <v>195000</v>
      </c>
      <c r="P46" s="20"/>
      <c r="Q46" s="20"/>
      <c r="R46" s="20"/>
      <c r="S46" s="20"/>
      <c r="T46" s="20"/>
      <c r="U46" s="20"/>
      <c r="V46" s="20"/>
      <c r="W46" s="20">
        <f>195000-195000</f>
        <v>0</v>
      </c>
      <c r="X46" s="20"/>
      <c r="Y46" s="118">
        <f t="shared" si="4"/>
        <v>0</v>
      </c>
      <c r="Z46" s="24">
        <f>194671</f>
        <v>194671</v>
      </c>
      <c r="AA46" s="118">
        <f t="shared" si="5"/>
        <v>329</v>
      </c>
      <c r="AB46" s="118"/>
      <c r="AC46" s="24"/>
      <c r="AD46" s="118">
        <f t="shared" si="6"/>
        <v>329</v>
      </c>
    </row>
    <row r="47" spans="1:30" ht="21">
      <c r="A47" s="173"/>
      <c r="B47" s="174"/>
      <c r="C47" s="173"/>
      <c r="D47" s="184"/>
      <c r="E47" s="26" t="s">
        <v>429</v>
      </c>
      <c r="F47" s="96">
        <v>2020</v>
      </c>
      <c r="G47" s="58"/>
      <c r="H47" s="20"/>
      <c r="I47" s="58"/>
      <c r="J47" s="58">
        <v>3110</v>
      </c>
      <c r="K47" s="20">
        <v>195000</v>
      </c>
      <c r="L47" s="34"/>
      <c r="M47" s="20"/>
      <c r="N47" s="20"/>
      <c r="O47" s="20">
        <f>195000</f>
        <v>195000</v>
      </c>
      <c r="P47" s="20"/>
      <c r="Q47" s="20"/>
      <c r="R47" s="20"/>
      <c r="S47" s="20"/>
      <c r="T47" s="20"/>
      <c r="U47" s="20"/>
      <c r="V47" s="20"/>
      <c r="W47" s="20">
        <f>195000-195000</f>
        <v>0</v>
      </c>
      <c r="X47" s="20"/>
      <c r="Y47" s="118">
        <f t="shared" si="4"/>
        <v>0</v>
      </c>
      <c r="Z47" s="24">
        <f>194467.48</f>
        <v>194467.48</v>
      </c>
      <c r="AA47" s="118">
        <f t="shared" si="5"/>
        <v>532.5199999999895</v>
      </c>
      <c r="AB47" s="118"/>
      <c r="AC47" s="24"/>
      <c r="AD47" s="118">
        <f t="shared" si="6"/>
        <v>532.5199999999895</v>
      </c>
    </row>
    <row r="48" spans="1:30" ht="21">
      <c r="A48" s="173"/>
      <c r="B48" s="174"/>
      <c r="C48" s="173"/>
      <c r="D48" s="184"/>
      <c r="E48" s="19" t="s">
        <v>668</v>
      </c>
      <c r="F48" s="96">
        <v>2021</v>
      </c>
      <c r="G48" s="58"/>
      <c r="H48" s="20"/>
      <c r="I48" s="58"/>
      <c r="J48" s="58">
        <v>3110</v>
      </c>
      <c r="K48" s="20">
        <v>200000</v>
      </c>
      <c r="L48" s="34"/>
      <c r="M48" s="20"/>
      <c r="N48" s="20"/>
      <c r="O48" s="20">
        <f>200000</f>
        <v>200000</v>
      </c>
      <c r="P48" s="20"/>
      <c r="Q48" s="20"/>
      <c r="R48" s="20"/>
      <c r="S48" s="20"/>
      <c r="T48" s="20"/>
      <c r="U48" s="20"/>
      <c r="V48" s="20"/>
      <c r="W48" s="20">
        <f>200000-200000</f>
        <v>0</v>
      </c>
      <c r="X48" s="20"/>
      <c r="Y48" s="118">
        <f t="shared" si="4"/>
        <v>0</v>
      </c>
      <c r="Z48" s="24">
        <f>199539</f>
        <v>199539</v>
      </c>
      <c r="AA48" s="118">
        <f t="shared" si="5"/>
        <v>461</v>
      </c>
      <c r="AB48" s="118"/>
      <c r="AC48" s="24"/>
      <c r="AD48" s="118">
        <f t="shared" si="6"/>
        <v>461</v>
      </c>
    </row>
    <row r="49" spans="1:30" ht="21">
      <c r="A49" s="173"/>
      <c r="B49" s="174"/>
      <c r="C49" s="173"/>
      <c r="D49" s="184"/>
      <c r="E49" s="19" t="s">
        <v>648</v>
      </c>
      <c r="F49" s="96">
        <v>2022</v>
      </c>
      <c r="G49" s="58"/>
      <c r="H49" s="20"/>
      <c r="I49" s="58"/>
      <c r="J49" s="58">
        <v>3110</v>
      </c>
      <c r="K49" s="20">
        <v>200000</v>
      </c>
      <c r="L49" s="34"/>
      <c r="M49" s="20"/>
      <c r="N49" s="20"/>
      <c r="O49" s="20">
        <f>100000</f>
        <v>100000</v>
      </c>
      <c r="P49" s="20"/>
      <c r="Q49" s="20"/>
      <c r="R49" s="20"/>
      <c r="S49" s="20"/>
      <c r="T49" s="20"/>
      <c r="U49" s="20"/>
      <c r="V49" s="20"/>
      <c r="W49" s="20">
        <f>200000-100000</f>
        <v>100000</v>
      </c>
      <c r="X49" s="20"/>
      <c r="Y49" s="118">
        <f t="shared" si="4"/>
        <v>0</v>
      </c>
      <c r="Z49" s="24">
        <f>99462+103</f>
        <v>99565</v>
      </c>
      <c r="AA49" s="118">
        <f t="shared" si="5"/>
        <v>435</v>
      </c>
      <c r="AB49" s="118"/>
      <c r="AC49" s="24"/>
      <c r="AD49" s="118">
        <f t="shared" si="6"/>
        <v>100435</v>
      </c>
    </row>
    <row r="50" spans="1:30" ht="21">
      <c r="A50" s="173"/>
      <c r="B50" s="174"/>
      <c r="C50" s="173"/>
      <c r="D50" s="184"/>
      <c r="E50" s="19" t="s">
        <v>649</v>
      </c>
      <c r="F50" s="96">
        <v>2023</v>
      </c>
      <c r="G50" s="58"/>
      <c r="H50" s="20"/>
      <c r="I50" s="58"/>
      <c r="J50" s="58">
        <v>3110</v>
      </c>
      <c r="K50" s="20">
        <v>200000</v>
      </c>
      <c r="L50" s="34"/>
      <c r="M50" s="20"/>
      <c r="N50" s="20"/>
      <c r="O50" s="20">
        <f>200000</f>
        <v>200000</v>
      </c>
      <c r="P50" s="20"/>
      <c r="Q50" s="20"/>
      <c r="R50" s="20"/>
      <c r="S50" s="20"/>
      <c r="T50" s="20"/>
      <c r="U50" s="20"/>
      <c r="V50" s="20"/>
      <c r="W50" s="20">
        <f>200000-200000</f>
        <v>0</v>
      </c>
      <c r="X50" s="20"/>
      <c r="Y50" s="118">
        <f t="shared" si="4"/>
        <v>0</v>
      </c>
      <c r="Z50" s="24">
        <f>199000</f>
        <v>199000</v>
      </c>
      <c r="AA50" s="118">
        <f t="shared" si="5"/>
        <v>1000</v>
      </c>
      <c r="AB50" s="118"/>
      <c r="AC50" s="24"/>
      <c r="AD50" s="118">
        <f t="shared" si="6"/>
        <v>1000</v>
      </c>
    </row>
    <row r="51" spans="1:30" ht="21">
      <c r="A51" s="173"/>
      <c r="B51" s="174"/>
      <c r="C51" s="173"/>
      <c r="D51" s="184"/>
      <c r="E51" s="19" t="s">
        <v>650</v>
      </c>
      <c r="F51" s="96">
        <v>2024</v>
      </c>
      <c r="G51" s="58"/>
      <c r="H51" s="20"/>
      <c r="I51" s="58"/>
      <c r="J51" s="58">
        <v>3110</v>
      </c>
      <c r="K51" s="20">
        <v>200000</v>
      </c>
      <c r="L51" s="34"/>
      <c r="M51" s="20"/>
      <c r="N51" s="20"/>
      <c r="O51" s="20">
        <f>100000</f>
        <v>100000</v>
      </c>
      <c r="P51" s="20"/>
      <c r="Q51" s="20"/>
      <c r="R51" s="20"/>
      <c r="S51" s="20"/>
      <c r="T51" s="20"/>
      <c r="U51" s="20"/>
      <c r="V51" s="20"/>
      <c r="W51" s="20">
        <f>200000-100000</f>
        <v>100000</v>
      </c>
      <c r="X51" s="20"/>
      <c r="Y51" s="118">
        <f t="shared" si="4"/>
        <v>0</v>
      </c>
      <c r="Z51" s="24">
        <f>99953</f>
        <v>99953</v>
      </c>
      <c r="AA51" s="118">
        <f t="shared" si="5"/>
        <v>47</v>
      </c>
      <c r="AB51" s="118"/>
      <c r="AC51" s="24"/>
      <c r="AD51" s="118">
        <f t="shared" si="6"/>
        <v>100047</v>
      </c>
    </row>
    <row r="52" spans="1:30" ht="21" hidden="1">
      <c r="A52" s="173"/>
      <c r="B52" s="174"/>
      <c r="C52" s="173"/>
      <c r="D52" s="184"/>
      <c r="E52" s="28" t="s">
        <v>423</v>
      </c>
      <c r="F52" s="96">
        <v>2025</v>
      </c>
      <c r="G52" s="58"/>
      <c r="H52" s="20"/>
      <c r="I52" s="58"/>
      <c r="J52" s="58">
        <v>3110</v>
      </c>
      <c r="K52" s="20">
        <f>120000-120000</f>
        <v>0</v>
      </c>
      <c r="L52" s="34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>
        <f>120000-120000</f>
        <v>0</v>
      </c>
      <c r="X52" s="20"/>
      <c r="Y52" s="118">
        <f t="shared" si="4"/>
        <v>0</v>
      </c>
      <c r="Z52" s="24"/>
      <c r="AA52" s="118">
        <f t="shared" si="5"/>
        <v>0</v>
      </c>
      <c r="AB52" s="118"/>
      <c r="AC52" s="24"/>
      <c r="AD52" s="118">
        <f t="shared" si="6"/>
        <v>0</v>
      </c>
    </row>
    <row r="53" spans="1:30" ht="30.75">
      <c r="A53" s="173"/>
      <c r="B53" s="174"/>
      <c r="C53" s="173"/>
      <c r="D53" s="184"/>
      <c r="E53" s="28" t="s">
        <v>796</v>
      </c>
      <c r="F53" s="96">
        <v>2560</v>
      </c>
      <c r="G53" s="58"/>
      <c r="H53" s="20"/>
      <c r="I53" s="58"/>
      <c r="J53" s="58">
        <v>3110</v>
      </c>
      <c r="K53" s="20">
        <v>70000</v>
      </c>
      <c r="L53" s="34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>
        <v>70000</v>
      </c>
      <c r="X53" s="20"/>
      <c r="Y53" s="118">
        <f t="shared" si="4"/>
        <v>0</v>
      </c>
      <c r="Z53" s="24"/>
      <c r="AA53" s="118">
        <f t="shared" si="5"/>
        <v>0</v>
      </c>
      <c r="AB53" s="118"/>
      <c r="AC53" s="24"/>
      <c r="AD53" s="118">
        <f t="shared" si="6"/>
        <v>70000</v>
      </c>
    </row>
    <row r="54" spans="1:30" ht="30.75">
      <c r="A54" s="173"/>
      <c r="B54" s="174"/>
      <c r="C54" s="173"/>
      <c r="D54" s="184"/>
      <c r="E54" s="28" t="s">
        <v>422</v>
      </c>
      <c r="F54" s="96">
        <v>2026</v>
      </c>
      <c r="G54" s="58"/>
      <c r="H54" s="20"/>
      <c r="I54" s="58"/>
      <c r="J54" s="58">
        <v>3110</v>
      </c>
      <c r="K54" s="20">
        <v>200000</v>
      </c>
      <c r="L54" s="34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>
        <v>200000</v>
      </c>
      <c r="X54" s="20"/>
      <c r="Y54" s="118">
        <f t="shared" si="4"/>
        <v>0</v>
      </c>
      <c r="Z54" s="24"/>
      <c r="AA54" s="118">
        <f t="shared" si="5"/>
        <v>0</v>
      </c>
      <c r="AB54" s="118"/>
      <c r="AC54" s="24"/>
      <c r="AD54" s="118">
        <f t="shared" si="6"/>
        <v>200000</v>
      </c>
    </row>
    <row r="55" spans="1:30" ht="30.75" hidden="1">
      <c r="A55" s="173"/>
      <c r="B55" s="174"/>
      <c r="C55" s="173"/>
      <c r="D55" s="184"/>
      <c r="E55" s="28" t="s">
        <v>426</v>
      </c>
      <c r="F55" s="96">
        <v>2027</v>
      </c>
      <c r="G55" s="58"/>
      <c r="H55" s="20"/>
      <c r="I55" s="58"/>
      <c r="J55" s="58">
        <v>3110</v>
      </c>
      <c r="K55" s="20">
        <f>150000-150000</f>
        <v>0</v>
      </c>
      <c r="L55" s="34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>
        <f>150000-150000</f>
        <v>0</v>
      </c>
      <c r="X55" s="20"/>
      <c r="Y55" s="118">
        <f t="shared" si="4"/>
        <v>0</v>
      </c>
      <c r="Z55" s="24"/>
      <c r="AA55" s="118">
        <f t="shared" si="5"/>
        <v>0</v>
      </c>
      <c r="AB55" s="118"/>
      <c r="AC55" s="24"/>
      <c r="AD55" s="118">
        <f t="shared" si="6"/>
        <v>0</v>
      </c>
    </row>
    <row r="56" spans="1:30" ht="21">
      <c r="A56" s="173"/>
      <c r="B56" s="174"/>
      <c r="C56" s="173"/>
      <c r="D56" s="184"/>
      <c r="E56" s="19" t="s">
        <v>651</v>
      </c>
      <c r="F56" s="96">
        <v>2028</v>
      </c>
      <c r="G56" s="58"/>
      <c r="H56" s="20"/>
      <c r="I56" s="58"/>
      <c r="J56" s="58">
        <v>3110</v>
      </c>
      <c r="K56" s="20">
        <v>200000</v>
      </c>
      <c r="L56" s="34"/>
      <c r="M56" s="20"/>
      <c r="N56" s="20"/>
      <c r="O56" s="20">
        <f>100000</f>
        <v>100000</v>
      </c>
      <c r="P56" s="20"/>
      <c r="Q56" s="20"/>
      <c r="R56" s="20"/>
      <c r="S56" s="20">
        <f>-100000</f>
        <v>-100000</v>
      </c>
      <c r="T56" s="20">
        <f>21000</f>
        <v>21000</v>
      </c>
      <c r="U56" s="20">
        <f>79000</f>
        <v>79000</v>
      </c>
      <c r="V56" s="20"/>
      <c r="W56" s="20">
        <f>200000-100000</f>
        <v>100000</v>
      </c>
      <c r="X56" s="20"/>
      <c r="Y56" s="118">
        <f t="shared" si="4"/>
        <v>0</v>
      </c>
      <c r="Z56" s="24"/>
      <c r="AA56" s="118">
        <f t="shared" si="5"/>
        <v>0</v>
      </c>
      <c r="AB56" s="118"/>
      <c r="AC56" s="24"/>
      <c r="AD56" s="118">
        <f t="shared" si="6"/>
        <v>200000</v>
      </c>
    </row>
    <row r="57" spans="1:30" ht="21">
      <c r="A57" s="173"/>
      <c r="B57" s="174"/>
      <c r="C57" s="173"/>
      <c r="D57" s="184"/>
      <c r="E57" s="19" t="s">
        <v>652</v>
      </c>
      <c r="F57" s="96">
        <v>2029</v>
      </c>
      <c r="G57" s="58"/>
      <c r="H57" s="20"/>
      <c r="I57" s="58"/>
      <c r="J57" s="58">
        <v>3110</v>
      </c>
      <c r="K57" s="20">
        <v>200000</v>
      </c>
      <c r="L57" s="34"/>
      <c r="M57" s="20"/>
      <c r="N57" s="20"/>
      <c r="O57" s="20">
        <f>200000</f>
        <v>200000</v>
      </c>
      <c r="P57" s="20"/>
      <c r="Q57" s="20"/>
      <c r="R57" s="20"/>
      <c r="S57" s="20">
        <f>-200000</f>
        <v>-200000</v>
      </c>
      <c r="T57" s="20">
        <f>200000</f>
        <v>200000</v>
      </c>
      <c r="U57" s="20"/>
      <c r="V57" s="20"/>
      <c r="W57" s="20">
        <f>200000-200000</f>
        <v>0</v>
      </c>
      <c r="X57" s="20"/>
      <c r="Y57" s="118">
        <f t="shared" si="4"/>
        <v>0</v>
      </c>
      <c r="Z57" s="24"/>
      <c r="AA57" s="118">
        <f t="shared" si="5"/>
        <v>0</v>
      </c>
      <c r="AB57" s="118"/>
      <c r="AC57" s="24"/>
      <c r="AD57" s="118">
        <f t="shared" si="6"/>
        <v>200000</v>
      </c>
    </row>
    <row r="58" spans="1:30" ht="21">
      <c r="A58" s="173"/>
      <c r="B58" s="174"/>
      <c r="C58" s="173"/>
      <c r="D58" s="184"/>
      <c r="E58" s="19" t="s">
        <v>653</v>
      </c>
      <c r="F58" s="96">
        <v>2030</v>
      </c>
      <c r="G58" s="58"/>
      <c r="H58" s="20"/>
      <c r="I58" s="58"/>
      <c r="J58" s="58">
        <v>3110</v>
      </c>
      <c r="K58" s="20">
        <v>200000</v>
      </c>
      <c r="L58" s="34"/>
      <c r="M58" s="20"/>
      <c r="N58" s="20"/>
      <c r="O58" s="20">
        <f>100000</f>
        <v>100000</v>
      </c>
      <c r="P58" s="20"/>
      <c r="Q58" s="20"/>
      <c r="R58" s="20"/>
      <c r="S58" s="20">
        <f>-100000</f>
        <v>-100000</v>
      </c>
      <c r="T58" s="20"/>
      <c r="U58" s="20">
        <f>100000</f>
        <v>100000</v>
      </c>
      <c r="V58" s="20"/>
      <c r="W58" s="20">
        <f>200000-100000</f>
        <v>100000</v>
      </c>
      <c r="X58" s="20"/>
      <c r="Y58" s="118">
        <f t="shared" si="4"/>
        <v>0</v>
      </c>
      <c r="Z58" s="24"/>
      <c r="AA58" s="118">
        <f t="shared" si="5"/>
        <v>0</v>
      </c>
      <c r="AB58" s="118"/>
      <c r="AC58" s="24"/>
      <c r="AD58" s="118">
        <f t="shared" si="6"/>
        <v>200000</v>
      </c>
    </row>
    <row r="59" spans="1:30" ht="21" hidden="1">
      <c r="A59" s="173"/>
      <c r="B59" s="174"/>
      <c r="C59" s="173"/>
      <c r="D59" s="184"/>
      <c r="E59" s="19" t="s">
        <v>427</v>
      </c>
      <c r="F59" s="96">
        <v>2031</v>
      </c>
      <c r="G59" s="58"/>
      <c r="H59" s="20"/>
      <c r="I59" s="58"/>
      <c r="J59" s="58">
        <v>3110</v>
      </c>
      <c r="K59" s="20">
        <f>120000-120000</f>
        <v>0</v>
      </c>
      <c r="L59" s="34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>
        <f>120000-120000</f>
        <v>0</v>
      </c>
      <c r="X59" s="20"/>
      <c r="Y59" s="118">
        <f>K59-M59-N59-O59-P59-Q59-R59-S59-T59-U59-V59-W59-X59</f>
        <v>0</v>
      </c>
      <c r="Z59" s="24"/>
      <c r="AA59" s="118">
        <f t="shared" si="5"/>
        <v>0</v>
      </c>
      <c r="AB59" s="118"/>
      <c r="AC59" s="24"/>
      <c r="AD59" s="118">
        <f t="shared" si="6"/>
        <v>0</v>
      </c>
    </row>
    <row r="60" spans="1:30" ht="30.75">
      <c r="A60" s="173"/>
      <c r="B60" s="174"/>
      <c r="C60" s="173"/>
      <c r="D60" s="184"/>
      <c r="E60" s="19" t="s">
        <v>883</v>
      </c>
      <c r="F60" s="96">
        <v>2611</v>
      </c>
      <c r="G60" s="58"/>
      <c r="H60" s="20"/>
      <c r="I60" s="58"/>
      <c r="J60" s="58">
        <v>3110</v>
      </c>
      <c r="K60" s="20">
        <v>120000</v>
      </c>
      <c r="L60" s="34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>
        <v>120000</v>
      </c>
      <c r="X60" s="20"/>
      <c r="Y60" s="118">
        <f>K60-M60-N60-O60-P60-Q60-R60-S60-T60-U60-V60-W60-X60</f>
        <v>0</v>
      </c>
      <c r="Z60" s="24"/>
      <c r="AA60" s="118">
        <f t="shared" si="5"/>
        <v>0</v>
      </c>
      <c r="AB60" s="118"/>
      <c r="AC60" s="24"/>
      <c r="AD60" s="118">
        <f t="shared" si="6"/>
        <v>120000</v>
      </c>
    </row>
    <row r="61" spans="1:30" ht="21">
      <c r="A61" s="173"/>
      <c r="B61" s="174"/>
      <c r="C61" s="173"/>
      <c r="D61" s="184"/>
      <c r="E61" s="19" t="s">
        <v>654</v>
      </c>
      <c r="F61" s="96">
        <v>2032</v>
      </c>
      <c r="G61" s="58"/>
      <c r="H61" s="20"/>
      <c r="I61" s="58"/>
      <c r="J61" s="58">
        <v>3110</v>
      </c>
      <c r="K61" s="20">
        <v>200000</v>
      </c>
      <c r="L61" s="34"/>
      <c r="M61" s="20"/>
      <c r="N61" s="20"/>
      <c r="O61" s="20">
        <f>200000</f>
        <v>200000</v>
      </c>
      <c r="P61" s="20"/>
      <c r="Q61" s="20"/>
      <c r="R61" s="20"/>
      <c r="S61" s="20"/>
      <c r="T61" s="20"/>
      <c r="U61" s="20"/>
      <c r="V61" s="20"/>
      <c r="W61" s="20">
        <f>200000-200000</f>
        <v>0</v>
      </c>
      <c r="X61" s="20"/>
      <c r="Y61" s="118">
        <f t="shared" si="4"/>
        <v>0</v>
      </c>
      <c r="Z61" s="24">
        <f>199567</f>
        <v>199567</v>
      </c>
      <c r="AA61" s="118">
        <f t="shared" si="5"/>
        <v>433</v>
      </c>
      <c r="AB61" s="118"/>
      <c r="AC61" s="24"/>
      <c r="AD61" s="118">
        <f t="shared" si="6"/>
        <v>433</v>
      </c>
    </row>
    <row r="62" spans="1:30" ht="21">
      <c r="A62" s="173"/>
      <c r="B62" s="174"/>
      <c r="C62" s="173"/>
      <c r="D62" s="184"/>
      <c r="E62" s="19" t="s">
        <v>655</v>
      </c>
      <c r="F62" s="96">
        <v>2033</v>
      </c>
      <c r="G62" s="58"/>
      <c r="H62" s="20"/>
      <c r="I62" s="58"/>
      <c r="J62" s="58">
        <v>3110</v>
      </c>
      <c r="K62" s="20">
        <v>200000</v>
      </c>
      <c r="L62" s="34"/>
      <c r="M62" s="20"/>
      <c r="N62" s="20"/>
      <c r="O62" s="20">
        <f>200000</f>
        <v>200000</v>
      </c>
      <c r="P62" s="20"/>
      <c r="Q62" s="20"/>
      <c r="R62" s="20"/>
      <c r="S62" s="20"/>
      <c r="T62" s="20"/>
      <c r="U62" s="20"/>
      <c r="V62" s="20"/>
      <c r="W62" s="20">
        <f>200000-200000</f>
        <v>0</v>
      </c>
      <c r="X62" s="20"/>
      <c r="Y62" s="118">
        <f t="shared" si="4"/>
        <v>0</v>
      </c>
      <c r="Z62" s="24">
        <f>199675</f>
        <v>199675</v>
      </c>
      <c r="AA62" s="118">
        <f t="shared" si="5"/>
        <v>325</v>
      </c>
      <c r="AB62" s="118"/>
      <c r="AC62" s="24"/>
      <c r="AD62" s="118">
        <f t="shared" si="6"/>
        <v>325</v>
      </c>
    </row>
    <row r="63" spans="1:30" ht="21">
      <c r="A63" s="173"/>
      <c r="B63" s="174"/>
      <c r="C63" s="173"/>
      <c r="D63" s="184"/>
      <c r="E63" s="19" t="s">
        <v>656</v>
      </c>
      <c r="F63" s="96">
        <v>2034</v>
      </c>
      <c r="G63" s="58"/>
      <c r="H63" s="20"/>
      <c r="I63" s="58"/>
      <c r="J63" s="58">
        <v>3110</v>
      </c>
      <c r="K63" s="20">
        <v>200000</v>
      </c>
      <c r="L63" s="34"/>
      <c r="M63" s="20"/>
      <c r="N63" s="20"/>
      <c r="O63" s="20">
        <f>200000</f>
        <v>200000</v>
      </c>
      <c r="P63" s="20"/>
      <c r="Q63" s="20"/>
      <c r="R63" s="20"/>
      <c r="S63" s="20"/>
      <c r="T63" s="20"/>
      <c r="U63" s="20"/>
      <c r="V63" s="20"/>
      <c r="W63" s="20">
        <f>200000-200000</f>
        <v>0</v>
      </c>
      <c r="X63" s="20"/>
      <c r="Y63" s="118">
        <f t="shared" si="4"/>
        <v>0</v>
      </c>
      <c r="Z63" s="24">
        <f>199852</f>
        <v>199852</v>
      </c>
      <c r="AA63" s="118">
        <f t="shared" si="5"/>
        <v>148</v>
      </c>
      <c r="AB63" s="118"/>
      <c r="AC63" s="24"/>
      <c r="AD63" s="118">
        <f t="shared" si="6"/>
        <v>148</v>
      </c>
    </row>
    <row r="64" spans="1:30" ht="21">
      <c r="A64" s="173"/>
      <c r="B64" s="174"/>
      <c r="C64" s="173"/>
      <c r="D64" s="184"/>
      <c r="E64" s="26" t="s">
        <v>430</v>
      </c>
      <c r="F64" s="96">
        <v>2035</v>
      </c>
      <c r="G64" s="58"/>
      <c r="H64" s="20"/>
      <c r="I64" s="58"/>
      <c r="J64" s="58">
        <v>3110</v>
      </c>
      <c r="K64" s="20">
        <v>50000</v>
      </c>
      <c r="L64" s="34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>
        <v>50000</v>
      </c>
      <c r="X64" s="20"/>
      <c r="Y64" s="118">
        <f t="shared" si="4"/>
        <v>0</v>
      </c>
      <c r="Z64" s="24"/>
      <c r="AA64" s="118">
        <f t="shared" si="5"/>
        <v>0</v>
      </c>
      <c r="AB64" s="118"/>
      <c r="AC64" s="24"/>
      <c r="AD64" s="118">
        <f t="shared" si="6"/>
        <v>50000</v>
      </c>
    </row>
    <row r="65" spans="1:30" ht="21">
      <c r="A65" s="173" t="s">
        <v>39</v>
      </c>
      <c r="B65" s="174">
        <v>1090</v>
      </c>
      <c r="C65" s="173" t="s">
        <v>40</v>
      </c>
      <c r="D65" s="184" t="s">
        <v>191</v>
      </c>
      <c r="E65" s="19"/>
      <c r="F65" s="96"/>
      <c r="G65" s="20"/>
      <c r="H65" s="24"/>
      <c r="I65" s="33"/>
      <c r="J65" s="33"/>
      <c r="K65" s="23">
        <f aca="true" t="shared" si="12" ref="K65:X65">SUM(K66:K69)</f>
        <v>208000</v>
      </c>
      <c r="L65" s="23">
        <f t="shared" si="12"/>
        <v>0</v>
      </c>
      <c r="M65" s="23">
        <f t="shared" si="12"/>
        <v>0</v>
      </c>
      <c r="N65" s="23">
        <f t="shared" si="12"/>
        <v>0</v>
      </c>
      <c r="O65" s="23">
        <f t="shared" si="12"/>
        <v>0</v>
      </c>
      <c r="P65" s="23">
        <f t="shared" si="12"/>
        <v>0</v>
      </c>
      <c r="Q65" s="23">
        <f t="shared" si="12"/>
        <v>0</v>
      </c>
      <c r="R65" s="23">
        <f t="shared" si="12"/>
        <v>0</v>
      </c>
      <c r="S65" s="23">
        <f t="shared" si="12"/>
        <v>0</v>
      </c>
      <c r="T65" s="23">
        <f t="shared" si="12"/>
        <v>0</v>
      </c>
      <c r="U65" s="23">
        <f t="shared" si="12"/>
        <v>0</v>
      </c>
      <c r="V65" s="23">
        <f t="shared" si="12"/>
        <v>0</v>
      </c>
      <c r="W65" s="23">
        <f t="shared" si="12"/>
        <v>0</v>
      </c>
      <c r="X65" s="23">
        <f t="shared" si="12"/>
        <v>208000</v>
      </c>
      <c r="Y65" s="118">
        <f t="shared" si="4"/>
        <v>0</v>
      </c>
      <c r="Z65" s="23">
        <f>SUM(Z66:Z69)</f>
        <v>0</v>
      </c>
      <c r="AA65" s="118">
        <f t="shared" si="5"/>
        <v>0</v>
      </c>
      <c r="AB65" s="118"/>
      <c r="AC65" s="24"/>
      <c r="AD65" s="118">
        <f t="shared" si="6"/>
        <v>208000</v>
      </c>
    </row>
    <row r="66" spans="1:30" ht="21">
      <c r="A66" s="173"/>
      <c r="B66" s="174"/>
      <c r="C66" s="173"/>
      <c r="D66" s="184"/>
      <c r="E66" s="29" t="s">
        <v>799</v>
      </c>
      <c r="F66" s="122">
        <v>2563</v>
      </c>
      <c r="G66" s="59"/>
      <c r="H66" s="24"/>
      <c r="I66" s="38"/>
      <c r="J66" s="58">
        <v>3110</v>
      </c>
      <c r="K66" s="24">
        <v>10000</v>
      </c>
      <c r="L66" s="34"/>
      <c r="M66" s="22"/>
      <c r="N66" s="22"/>
      <c r="O66" s="20"/>
      <c r="P66" s="20"/>
      <c r="Q66" s="20"/>
      <c r="R66" s="20"/>
      <c r="S66" s="20"/>
      <c r="T66" s="20"/>
      <c r="U66" s="20"/>
      <c r="V66" s="20"/>
      <c r="W66" s="20"/>
      <c r="X66" s="20">
        <v>10000</v>
      </c>
      <c r="Y66" s="118">
        <f t="shared" si="4"/>
        <v>0</v>
      </c>
      <c r="Z66" s="24"/>
      <c r="AA66" s="118">
        <f t="shared" si="5"/>
        <v>0</v>
      </c>
      <c r="AB66" s="118"/>
      <c r="AC66" s="24"/>
      <c r="AD66" s="118">
        <f t="shared" si="6"/>
        <v>10000</v>
      </c>
    </row>
    <row r="67" spans="1:30" ht="21">
      <c r="A67" s="173"/>
      <c r="B67" s="174"/>
      <c r="C67" s="173"/>
      <c r="D67" s="184"/>
      <c r="E67" s="29" t="s">
        <v>800</v>
      </c>
      <c r="F67" s="122">
        <v>2564</v>
      </c>
      <c r="G67" s="59"/>
      <c r="H67" s="24"/>
      <c r="I67" s="38"/>
      <c r="J67" s="58">
        <v>3110</v>
      </c>
      <c r="K67" s="24">
        <v>8500</v>
      </c>
      <c r="L67" s="34"/>
      <c r="M67" s="22"/>
      <c r="N67" s="22"/>
      <c r="O67" s="20"/>
      <c r="P67" s="20"/>
      <c r="Q67" s="20"/>
      <c r="R67" s="20"/>
      <c r="S67" s="20"/>
      <c r="T67" s="20"/>
      <c r="U67" s="20"/>
      <c r="V67" s="20"/>
      <c r="W67" s="20"/>
      <c r="X67" s="20">
        <v>8500</v>
      </c>
      <c r="Y67" s="118">
        <f t="shared" si="4"/>
        <v>0</v>
      </c>
      <c r="Z67" s="24"/>
      <c r="AA67" s="118">
        <f t="shared" si="5"/>
        <v>0</v>
      </c>
      <c r="AB67" s="118"/>
      <c r="AC67" s="24"/>
      <c r="AD67" s="118">
        <f t="shared" si="6"/>
        <v>8500</v>
      </c>
    </row>
    <row r="68" spans="1:30" ht="21">
      <c r="A68" s="173"/>
      <c r="B68" s="174"/>
      <c r="C68" s="173"/>
      <c r="D68" s="184"/>
      <c r="E68" s="29" t="s">
        <v>801</v>
      </c>
      <c r="F68" s="122">
        <v>2565</v>
      </c>
      <c r="G68" s="59"/>
      <c r="H68" s="24"/>
      <c r="I68" s="38"/>
      <c r="J68" s="58">
        <v>3110</v>
      </c>
      <c r="K68" s="24">
        <v>8000</v>
      </c>
      <c r="L68" s="34"/>
      <c r="M68" s="22"/>
      <c r="N68" s="22"/>
      <c r="O68" s="20"/>
      <c r="P68" s="20"/>
      <c r="Q68" s="20"/>
      <c r="R68" s="20"/>
      <c r="S68" s="20"/>
      <c r="T68" s="20"/>
      <c r="U68" s="20"/>
      <c r="V68" s="20"/>
      <c r="W68" s="20"/>
      <c r="X68" s="20">
        <v>8000</v>
      </c>
      <c r="Y68" s="118">
        <f t="shared" si="4"/>
        <v>0</v>
      </c>
      <c r="Z68" s="24"/>
      <c r="AA68" s="118">
        <f t="shared" si="5"/>
        <v>0</v>
      </c>
      <c r="AB68" s="118"/>
      <c r="AC68" s="24"/>
      <c r="AD68" s="118">
        <f t="shared" si="6"/>
        <v>8000</v>
      </c>
    </row>
    <row r="69" spans="1:30" ht="21">
      <c r="A69" s="173"/>
      <c r="B69" s="174"/>
      <c r="C69" s="173"/>
      <c r="D69" s="184"/>
      <c r="E69" s="29" t="s">
        <v>802</v>
      </c>
      <c r="F69" s="122">
        <v>2566</v>
      </c>
      <c r="G69" s="59"/>
      <c r="H69" s="24"/>
      <c r="I69" s="38"/>
      <c r="J69" s="58">
        <v>3110</v>
      </c>
      <c r="K69" s="24">
        <v>181500</v>
      </c>
      <c r="L69" s="34"/>
      <c r="M69" s="22"/>
      <c r="N69" s="22"/>
      <c r="O69" s="20"/>
      <c r="P69" s="20"/>
      <c r="Q69" s="20"/>
      <c r="R69" s="20"/>
      <c r="S69" s="20"/>
      <c r="T69" s="20"/>
      <c r="U69" s="20"/>
      <c r="V69" s="20"/>
      <c r="W69" s="20"/>
      <c r="X69" s="20">
        <v>181500</v>
      </c>
      <c r="Y69" s="118">
        <f t="shared" si="4"/>
        <v>0</v>
      </c>
      <c r="Z69" s="24"/>
      <c r="AA69" s="118">
        <f t="shared" si="5"/>
        <v>0</v>
      </c>
      <c r="AB69" s="118"/>
      <c r="AC69" s="24"/>
      <c r="AD69" s="118">
        <f t="shared" si="6"/>
        <v>181500</v>
      </c>
    </row>
    <row r="70" spans="1:30" ht="21">
      <c r="A70" s="173" t="s">
        <v>41</v>
      </c>
      <c r="B70" s="174">
        <v>1100</v>
      </c>
      <c r="C70" s="173" t="s">
        <v>40</v>
      </c>
      <c r="D70" s="184" t="s">
        <v>192</v>
      </c>
      <c r="E70" s="19"/>
      <c r="F70" s="96"/>
      <c r="G70" s="20"/>
      <c r="H70" s="24"/>
      <c r="I70" s="33"/>
      <c r="J70" s="33"/>
      <c r="K70" s="23">
        <f aca="true" t="shared" si="13" ref="K70:Z70">SUM(K71:K75)</f>
        <v>1000000</v>
      </c>
      <c r="L70" s="23">
        <f t="shared" si="13"/>
        <v>0</v>
      </c>
      <c r="M70" s="23">
        <f t="shared" si="13"/>
        <v>0</v>
      </c>
      <c r="N70" s="23">
        <f t="shared" si="13"/>
        <v>0</v>
      </c>
      <c r="O70" s="23">
        <f t="shared" si="13"/>
        <v>0</v>
      </c>
      <c r="P70" s="23">
        <f t="shared" si="13"/>
        <v>0</v>
      </c>
      <c r="Q70" s="23">
        <f t="shared" si="13"/>
        <v>0</v>
      </c>
      <c r="R70" s="23">
        <f t="shared" si="13"/>
        <v>0</v>
      </c>
      <c r="S70" s="23">
        <f t="shared" si="13"/>
        <v>0</v>
      </c>
      <c r="T70" s="23">
        <f t="shared" si="13"/>
        <v>0</v>
      </c>
      <c r="U70" s="23">
        <f t="shared" si="13"/>
        <v>0</v>
      </c>
      <c r="V70" s="23">
        <f t="shared" si="13"/>
        <v>0</v>
      </c>
      <c r="W70" s="23">
        <f t="shared" si="13"/>
        <v>0</v>
      </c>
      <c r="X70" s="23">
        <f t="shared" si="13"/>
        <v>1000000</v>
      </c>
      <c r="Y70" s="118">
        <f t="shared" si="4"/>
        <v>0</v>
      </c>
      <c r="Z70" s="23">
        <f t="shared" si="13"/>
        <v>0</v>
      </c>
      <c r="AA70" s="118">
        <f t="shared" si="5"/>
        <v>0</v>
      </c>
      <c r="AB70" s="118"/>
      <c r="AC70" s="24"/>
      <c r="AD70" s="118">
        <f t="shared" si="6"/>
        <v>1000000</v>
      </c>
    </row>
    <row r="71" spans="1:30" ht="21">
      <c r="A71" s="173"/>
      <c r="B71" s="174"/>
      <c r="C71" s="173"/>
      <c r="D71" s="184"/>
      <c r="E71" s="30" t="s">
        <v>804</v>
      </c>
      <c r="F71" s="97">
        <v>2568</v>
      </c>
      <c r="G71" s="59"/>
      <c r="H71" s="24"/>
      <c r="I71" s="38"/>
      <c r="J71" s="58">
        <v>3110</v>
      </c>
      <c r="K71" s="24">
        <v>200000</v>
      </c>
      <c r="L71" s="34"/>
      <c r="M71" s="22"/>
      <c r="N71" s="22"/>
      <c r="O71" s="20"/>
      <c r="P71" s="20"/>
      <c r="Q71" s="20"/>
      <c r="R71" s="20"/>
      <c r="S71" s="20"/>
      <c r="T71" s="20"/>
      <c r="U71" s="20"/>
      <c r="V71" s="20"/>
      <c r="W71" s="20"/>
      <c r="X71" s="20">
        <v>200000</v>
      </c>
      <c r="Y71" s="118">
        <f t="shared" si="4"/>
        <v>0</v>
      </c>
      <c r="Z71" s="24"/>
      <c r="AA71" s="118">
        <f t="shared" si="5"/>
        <v>0</v>
      </c>
      <c r="AB71" s="118"/>
      <c r="AC71" s="24"/>
      <c r="AD71" s="118">
        <f t="shared" si="6"/>
        <v>200000</v>
      </c>
    </row>
    <row r="72" spans="1:30" ht="21">
      <c r="A72" s="173"/>
      <c r="B72" s="174"/>
      <c r="C72" s="173"/>
      <c r="D72" s="184"/>
      <c r="E72" s="30" t="s">
        <v>805</v>
      </c>
      <c r="F72" s="97">
        <v>2569</v>
      </c>
      <c r="G72" s="59"/>
      <c r="H72" s="24"/>
      <c r="I72" s="38"/>
      <c r="J72" s="58">
        <v>3110</v>
      </c>
      <c r="K72" s="24">
        <v>200000</v>
      </c>
      <c r="L72" s="34"/>
      <c r="M72" s="22"/>
      <c r="N72" s="22"/>
      <c r="O72" s="20"/>
      <c r="P72" s="20"/>
      <c r="Q72" s="20"/>
      <c r="R72" s="20"/>
      <c r="S72" s="20"/>
      <c r="T72" s="20"/>
      <c r="U72" s="20"/>
      <c r="V72" s="20"/>
      <c r="W72" s="20"/>
      <c r="X72" s="20">
        <v>200000</v>
      </c>
      <c r="Y72" s="118">
        <f t="shared" si="4"/>
        <v>0</v>
      </c>
      <c r="Z72" s="24"/>
      <c r="AA72" s="118">
        <f t="shared" si="5"/>
        <v>0</v>
      </c>
      <c r="AB72" s="118"/>
      <c r="AC72" s="24"/>
      <c r="AD72" s="118">
        <f t="shared" si="6"/>
        <v>200000</v>
      </c>
    </row>
    <row r="73" spans="1:30" ht="21">
      <c r="A73" s="173"/>
      <c r="B73" s="174"/>
      <c r="C73" s="173"/>
      <c r="D73" s="184"/>
      <c r="E73" s="30" t="s">
        <v>806</v>
      </c>
      <c r="F73" s="97">
        <v>2570</v>
      </c>
      <c r="G73" s="59"/>
      <c r="H73" s="24"/>
      <c r="I73" s="38"/>
      <c r="J73" s="58">
        <v>3110</v>
      </c>
      <c r="K73" s="24">
        <v>200000</v>
      </c>
      <c r="L73" s="34"/>
      <c r="M73" s="22"/>
      <c r="N73" s="22"/>
      <c r="O73" s="20"/>
      <c r="P73" s="20"/>
      <c r="Q73" s="20"/>
      <c r="R73" s="20"/>
      <c r="S73" s="20"/>
      <c r="T73" s="20"/>
      <c r="U73" s="20"/>
      <c r="V73" s="20"/>
      <c r="W73" s="20"/>
      <c r="X73" s="20">
        <v>200000</v>
      </c>
      <c r="Y73" s="118">
        <f t="shared" si="4"/>
        <v>0</v>
      </c>
      <c r="Z73" s="24"/>
      <c r="AA73" s="118">
        <f t="shared" si="5"/>
        <v>0</v>
      </c>
      <c r="AB73" s="118"/>
      <c r="AC73" s="24"/>
      <c r="AD73" s="118">
        <f t="shared" si="6"/>
        <v>200000</v>
      </c>
    </row>
    <row r="74" spans="1:30" ht="21">
      <c r="A74" s="173"/>
      <c r="B74" s="174"/>
      <c r="C74" s="173"/>
      <c r="D74" s="184"/>
      <c r="E74" s="30" t="s">
        <v>807</v>
      </c>
      <c r="F74" s="97">
        <v>2571</v>
      </c>
      <c r="G74" s="59"/>
      <c r="H74" s="24"/>
      <c r="I74" s="38"/>
      <c r="J74" s="58">
        <v>3110</v>
      </c>
      <c r="K74" s="24">
        <v>200000</v>
      </c>
      <c r="L74" s="34"/>
      <c r="M74" s="22"/>
      <c r="N74" s="22"/>
      <c r="O74" s="20"/>
      <c r="P74" s="20"/>
      <c r="Q74" s="20"/>
      <c r="R74" s="20"/>
      <c r="S74" s="20"/>
      <c r="T74" s="20"/>
      <c r="U74" s="20"/>
      <c r="V74" s="20"/>
      <c r="W74" s="20"/>
      <c r="X74" s="20">
        <v>200000</v>
      </c>
      <c r="Y74" s="118">
        <f t="shared" si="4"/>
        <v>0</v>
      </c>
      <c r="Z74" s="24"/>
      <c r="AA74" s="118">
        <f t="shared" si="5"/>
        <v>0</v>
      </c>
      <c r="AB74" s="118"/>
      <c r="AC74" s="24"/>
      <c r="AD74" s="118">
        <f t="shared" si="6"/>
        <v>200000</v>
      </c>
    </row>
    <row r="75" spans="1:30" ht="21">
      <c r="A75" s="173"/>
      <c r="B75" s="174"/>
      <c r="C75" s="173"/>
      <c r="D75" s="184"/>
      <c r="E75" s="30" t="s">
        <v>808</v>
      </c>
      <c r="F75" s="97">
        <v>2572</v>
      </c>
      <c r="G75" s="59"/>
      <c r="H75" s="24"/>
      <c r="I75" s="38"/>
      <c r="J75" s="58">
        <v>3110</v>
      </c>
      <c r="K75" s="24">
        <v>200000</v>
      </c>
      <c r="L75" s="34"/>
      <c r="M75" s="22"/>
      <c r="N75" s="22"/>
      <c r="O75" s="20"/>
      <c r="P75" s="20"/>
      <c r="Q75" s="20"/>
      <c r="R75" s="20"/>
      <c r="S75" s="20"/>
      <c r="T75" s="20"/>
      <c r="U75" s="20"/>
      <c r="V75" s="20"/>
      <c r="W75" s="20"/>
      <c r="X75" s="20">
        <v>200000</v>
      </c>
      <c r="Y75" s="118">
        <f t="shared" si="4"/>
        <v>0</v>
      </c>
      <c r="Z75" s="24"/>
      <c r="AA75" s="118">
        <f t="shared" si="5"/>
        <v>0</v>
      </c>
      <c r="AB75" s="118"/>
      <c r="AC75" s="24"/>
      <c r="AD75" s="118">
        <f t="shared" si="6"/>
        <v>200000</v>
      </c>
    </row>
    <row r="76" spans="1:30" ht="21">
      <c r="A76" s="173" t="s">
        <v>42</v>
      </c>
      <c r="B76" s="174">
        <v>1110</v>
      </c>
      <c r="C76" s="173" t="s">
        <v>43</v>
      </c>
      <c r="D76" s="185" t="s">
        <v>44</v>
      </c>
      <c r="E76" s="28"/>
      <c r="F76" s="99"/>
      <c r="G76" s="123"/>
      <c r="H76" s="24"/>
      <c r="I76" s="124"/>
      <c r="J76" s="124"/>
      <c r="K76" s="32">
        <f>SUM(K77:K78)</f>
        <v>11016</v>
      </c>
      <c r="L76" s="32">
        <f aca="true" t="shared" si="14" ref="L76:Z76">SUM(L77:L78)</f>
        <v>0</v>
      </c>
      <c r="M76" s="32">
        <f t="shared" si="14"/>
        <v>0</v>
      </c>
      <c r="N76" s="32">
        <f t="shared" si="14"/>
        <v>0</v>
      </c>
      <c r="O76" s="32">
        <f t="shared" si="14"/>
        <v>11016</v>
      </c>
      <c r="P76" s="32">
        <f t="shared" si="14"/>
        <v>0</v>
      </c>
      <c r="Q76" s="32">
        <f t="shared" si="14"/>
        <v>0</v>
      </c>
      <c r="R76" s="32">
        <f t="shared" si="14"/>
        <v>0</v>
      </c>
      <c r="S76" s="32">
        <f t="shared" si="14"/>
        <v>0</v>
      </c>
      <c r="T76" s="32">
        <f t="shared" si="14"/>
        <v>0</v>
      </c>
      <c r="U76" s="32">
        <f t="shared" si="14"/>
        <v>0</v>
      </c>
      <c r="V76" s="32">
        <f t="shared" si="14"/>
        <v>0</v>
      </c>
      <c r="W76" s="32">
        <f t="shared" si="14"/>
        <v>0</v>
      </c>
      <c r="X76" s="32">
        <f t="shared" si="14"/>
        <v>0</v>
      </c>
      <c r="Y76" s="118">
        <f t="shared" si="4"/>
        <v>0</v>
      </c>
      <c r="Z76" s="32">
        <f t="shared" si="14"/>
        <v>0</v>
      </c>
      <c r="AA76" s="118">
        <f t="shared" si="5"/>
        <v>11016</v>
      </c>
      <c r="AB76" s="118"/>
      <c r="AC76" s="24"/>
      <c r="AD76" s="118">
        <f t="shared" si="6"/>
        <v>11016</v>
      </c>
    </row>
    <row r="77" spans="1:30" ht="108.75">
      <c r="A77" s="173"/>
      <c r="B77" s="174"/>
      <c r="C77" s="173"/>
      <c r="D77" s="185"/>
      <c r="E77" s="28" t="s">
        <v>803</v>
      </c>
      <c r="F77" s="97">
        <v>2567</v>
      </c>
      <c r="G77" s="20"/>
      <c r="H77" s="24"/>
      <c r="I77" s="33"/>
      <c r="J77" s="58">
        <v>3110</v>
      </c>
      <c r="K77" s="20">
        <v>11016</v>
      </c>
      <c r="L77" s="50"/>
      <c r="M77" s="22"/>
      <c r="N77" s="22"/>
      <c r="O77" s="20">
        <v>11016</v>
      </c>
      <c r="P77" s="20"/>
      <c r="Q77" s="20"/>
      <c r="R77" s="20"/>
      <c r="S77" s="20"/>
      <c r="T77" s="20"/>
      <c r="U77" s="20"/>
      <c r="V77" s="20"/>
      <c r="W77" s="20"/>
      <c r="X77" s="20"/>
      <c r="Y77" s="118">
        <f t="shared" si="4"/>
        <v>0</v>
      </c>
      <c r="Z77" s="24"/>
      <c r="AA77" s="118">
        <f t="shared" si="5"/>
        <v>11016</v>
      </c>
      <c r="AB77" s="118"/>
      <c r="AC77" s="24"/>
      <c r="AD77" s="118">
        <f t="shared" si="6"/>
        <v>11016</v>
      </c>
    </row>
    <row r="78" spans="1:30" ht="21" hidden="1">
      <c r="A78" s="173"/>
      <c r="B78" s="174"/>
      <c r="C78" s="173"/>
      <c r="D78" s="185"/>
      <c r="E78" s="28"/>
      <c r="F78" s="99"/>
      <c r="G78" s="20"/>
      <c r="H78" s="24"/>
      <c r="I78" s="33"/>
      <c r="J78" s="58"/>
      <c r="K78" s="23"/>
      <c r="L78" s="50"/>
      <c r="M78" s="22"/>
      <c r="N78" s="22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18">
        <f t="shared" si="4"/>
        <v>0</v>
      </c>
      <c r="Z78" s="24"/>
      <c r="AA78" s="118">
        <f t="shared" si="5"/>
        <v>0</v>
      </c>
      <c r="AB78" s="118"/>
      <c r="AC78" s="24"/>
      <c r="AD78" s="118">
        <f t="shared" si="6"/>
        <v>0</v>
      </c>
    </row>
    <row r="79" spans="1:30" ht="21">
      <c r="A79" s="173" t="s">
        <v>45</v>
      </c>
      <c r="B79" s="174">
        <v>1161</v>
      </c>
      <c r="C79" s="173" t="s">
        <v>46</v>
      </c>
      <c r="D79" s="186" t="s">
        <v>47</v>
      </c>
      <c r="E79" s="28"/>
      <c r="F79" s="99"/>
      <c r="G79" s="20"/>
      <c r="H79" s="24"/>
      <c r="I79" s="33"/>
      <c r="J79" s="58"/>
      <c r="K79" s="23">
        <f>SUM(K80:K81)</f>
        <v>1000000</v>
      </c>
      <c r="L79" s="23">
        <f aca="true" t="shared" si="15" ref="L79:Z79">SUM(L80:L81)</f>
        <v>0</v>
      </c>
      <c r="M79" s="23">
        <f t="shared" si="15"/>
        <v>0</v>
      </c>
      <c r="N79" s="23">
        <f t="shared" si="15"/>
        <v>0</v>
      </c>
      <c r="O79" s="23">
        <f t="shared" si="15"/>
        <v>0</v>
      </c>
      <c r="P79" s="23">
        <f t="shared" si="15"/>
        <v>0</v>
      </c>
      <c r="Q79" s="23">
        <f t="shared" si="15"/>
        <v>0</v>
      </c>
      <c r="R79" s="23">
        <f t="shared" si="15"/>
        <v>0</v>
      </c>
      <c r="S79" s="23">
        <f t="shared" si="15"/>
        <v>0</v>
      </c>
      <c r="T79" s="23">
        <f t="shared" si="15"/>
        <v>800000</v>
      </c>
      <c r="U79" s="23">
        <f t="shared" si="15"/>
        <v>0</v>
      </c>
      <c r="V79" s="23">
        <f t="shared" si="15"/>
        <v>200000</v>
      </c>
      <c r="W79" s="23">
        <f t="shared" si="15"/>
        <v>0</v>
      </c>
      <c r="X79" s="23">
        <f t="shared" si="15"/>
        <v>0</v>
      </c>
      <c r="Y79" s="23">
        <f t="shared" si="15"/>
        <v>0</v>
      </c>
      <c r="Z79" s="23">
        <f t="shared" si="15"/>
        <v>0</v>
      </c>
      <c r="AA79" s="118">
        <f t="shared" si="5"/>
        <v>0</v>
      </c>
      <c r="AB79" s="118"/>
      <c r="AC79" s="24"/>
      <c r="AD79" s="118">
        <f t="shared" si="6"/>
        <v>1000000</v>
      </c>
    </row>
    <row r="80" spans="1:30" ht="30.75">
      <c r="A80" s="173"/>
      <c r="B80" s="174"/>
      <c r="C80" s="173"/>
      <c r="D80" s="186"/>
      <c r="E80" s="29" t="s">
        <v>899</v>
      </c>
      <c r="F80" s="122">
        <v>2623</v>
      </c>
      <c r="G80" s="59"/>
      <c r="H80" s="24"/>
      <c r="I80" s="38"/>
      <c r="J80" s="58">
        <v>3110</v>
      </c>
      <c r="K80" s="27">
        <v>1000000</v>
      </c>
      <c r="L80" s="34"/>
      <c r="M80" s="22"/>
      <c r="N80" s="22"/>
      <c r="O80" s="20"/>
      <c r="P80" s="20"/>
      <c r="Q80" s="20"/>
      <c r="R80" s="20"/>
      <c r="S80" s="20"/>
      <c r="T80" s="20">
        <v>800000</v>
      </c>
      <c r="U80" s="20"/>
      <c r="V80" s="20">
        <v>200000</v>
      </c>
      <c r="W80" s="20"/>
      <c r="X80" s="20"/>
      <c r="Y80" s="118">
        <f t="shared" si="4"/>
        <v>0</v>
      </c>
      <c r="Z80" s="24"/>
      <c r="AA80" s="118">
        <f t="shared" si="5"/>
        <v>0</v>
      </c>
      <c r="AB80" s="118"/>
      <c r="AC80" s="24"/>
      <c r="AD80" s="118">
        <f t="shared" si="6"/>
        <v>1000000</v>
      </c>
    </row>
    <row r="81" spans="1:30" ht="21" hidden="1">
      <c r="A81" s="173"/>
      <c r="B81" s="174"/>
      <c r="C81" s="173"/>
      <c r="D81" s="186"/>
      <c r="E81" s="28"/>
      <c r="F81" s="99"/>
      <c r="G81" s="25"/>
      <c r="H81" s="24"/>
      <c r="I81" s="37"/>
      <c r="J81" s="58"/>
      <c r="K81" s="24"/>
      <c r="L81" s="34"/>
      <c r="M81" s="22"/>
      <c r="N81" s="22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18">
        <f t="shared" si="4"/>
        <v>0</v>
      </c>
      <c r="Z81" s="24"/>
      <c r="AA81" s="118">
        <f t="shared" si="5"/>
        <v>0</v>
      </c>
      <c r="AB81" s="118"/>
      <c r="AC81" s="24"/>
      <c r="AD81" s="118">
        <f t="shared" si="6"/>
        <v>0</v>
      </c>
    </row>
    <row r="82" spans="1:30" ht="21" hidden="1">
      <c r="A82" s="173" t="s">
        <v>48</v>
      </c>
      <c r="B82" s="174">
        <v>1170</v>
      </c>
      <c r="C82" s="173" t="s">
        <v>46</v>
      </c>
      <c r="D82" s="184" t="s">
        <v>49</v>
      </c>
      <c r="E82" s="19"/>
      <c r="F82" s="96"/>
      <c r="G82" s="20"/>
      <c r="H82" s="24"/>
      <c r="I82" s="33"/>
      <c r="J82" s="58"/>
      <c r="K82" s="23">
        <f>K83</f>
        <v>0</v>
      </c>
      <c r="L82" s="50"/>
      <c r="M82" s="22"/>
      <c r="N82" s="22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18">
        <f t="shared" si="4"/>
        <v>0</v>
      </c>
      <c r="Z82" s="24"/>
      <c r="AA82" s="118">
        <f t="shared" si="5"/>
        <v>0</v>
      </c>
      <c r="AB82" s="118"/>
      <c r="AC82" s="24"/>
      <c r="AD82" s="118">
        <f t="shared" si="6"/>
        <v>0</v>
      </c>
    </row>
    <row r="83" spans="1:30" ht="21" hidden="1">
      <c r="A83" s="173"/>
      <c r="B83" s="174"/>
      <c r="C83" s="173"/>
      <c r="D83" s="184"/>
      <c r="E83" s="19"/>
      <c r="F83" s="96"/>
      <c r="G83" s="20"/>
      <c r="H83" s="24"/>
      <c r="I83" s="33"/>
      <c r="J83" s="58"/>
      <c r="K83" s="23"/>
      <c r="L83" s="50"/>
      <c r="M83" s="22"/>
      <c r="N83" s="22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18">
        <f t="shared" si="4"/>
        <v>0</v>
      </c>
      <c r="Z83" s="24"/>
      <c r="AA83" s="118">
        <f aca="true" t="shared" si="16" ref="AA83:AA146">M83+N83+O83+P83+Q83+R83+S83-Z83</f>
        <v>0</v>
      </c>
      <c r="AB83" s="118"/>
      <c r="AC83" s="24"/>
      <c r="AD83" s="118">
        <f aca="true" t="shared" si="17" ref="AD83:AD146">K83-Z83+AC83-AB83</f>
        <v>0</v>
      </c>
    </row>
    <row r="84" spans="1:30" ht="21" hidden="1">
      <c r="A84" s="173" t="s">
        <v>50</v>
      </c>
      <c r="B84" s="174">
        <v>3241</v>
      </c>
      <c r="C84" s="173" t="s">
        <v>51</v>
      </c>
      <c r="D84" s="184" t="s">
        <v>52</v>
      </c>
      <c r="E84" s="19"/>
      <c r="F84" s="96"/>
      <c r="G84" s="20"/>
      <c r="H84" s="24"/>
      <c r="I84" s="33"/>
      <c r="J84" s="58"/>
      <c r="K84" s="23">
        <f>K85</f>
        <v>0</v>
      </c>
      <c r="L84" s="50"/>
      <c r="M84" s="22"/>
      <c r="N84" s="22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118">
        <f t="shared" si="4"/>
        <v>0</v>
      </c>
      <c r="Z84" s="24"/>
      <c r="AA84" s="118">
        <f t="shared" si="16"/>
        <v>0</v>
      </c>
      <c r="AB84" s="118"/>
      <c r="AC84" s="24"/>
      <c r="AD84" s="118">
        <f t="shared" si="17"/>
        <v>0</v>
      </c>
    </row>
    <row r="85" spans="1:30" ht="21" hidden="1">
      <c r="A85" s="173"/>
      <c r="B85" s="174"/>
      <c r="C85" s="173"/>
      <c r="D85" s="184"/>
      <c r="E85" s="19"/>
      <c r="F85" s="96"/>
      <c r="G85" s="20"/>
      <c r="H85" s="24"/>
      <c r="I85" s="33"/>
      <c r="J85" s="58"/>
      <c r="K85" s="23"/>
      <c r="L85" s="50"/>
      <c r="M85" s="22"/>
      <c r="N85" s="22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118">
        <f t="shared" si="4"/>
        <v>0</v>
      </c>
      <c r="Z85" s="24"/>
      <c r="AA85" s="118">
        <f t="shared" si="16"/>
        <v>0</v>
      </c>
      <c r="AB85" s="118"/>
      <c r="AC85" s="24"/>
      <c r="AD85" s="118">
        <f t="shared" si="17"/>
        <v>0</v>
      </c>
    </row>
    <row r="86" spans="1:30" ht="21">
      <c r="A86" s="185" t="s">
        <v>53</v>
      </c>
      <c r="B86" s="185" t="s">
        <v>54</v>
      </c>
      <c r="C86" s="185" t="s">
        <v>55</v>
      </c>
      <c r="D86" s="184" t="s">
        <v>56</v>
      </c>
      <c r="E86" s="19"/>
      <c r="F86" s="96"/>
      <c r="G86" s="20"/>
      <c r="H86" s="24"/>
      <c r="I86" s="33"/>
      <c r="J86" s="58"/>
      <c r="K86" s="23">
        <f>K87</f>
        <v>400000</v>
      </c>
      <c r="L86" s="23">
        <f aca="true" t="shared" si="18" ref="L86:Z86">L87</f>
        <v>0</v>
      </c>
      <c r="M86" s="23">
        <f t="shared" si="18"/>
        <v>0</v>
      </c>
      <c r="N86" s="23">
        <f t="shared" si="18"/>
        <v>0</v>
      </c>
      <c r="O86" s="23">
        <f t="shared" si="18"/>
        <v>0</v>
      </c>
      <c r="P86" s="23">
        <f t="shared" si="18"/>
        <v>0</v>
      </c>
      <c r="Q86" s="23">
        <f t="shared" si="18"/>
        <v>0</v>
      </c>
      <c r="R86" s="23">
        <f t="shared" si="18"/>
        <v>0</v>
      </c>
      <c r="S86" s="23">
        <f t="shared" si="18"/>
        <v>0</v>
      </c>
      <c r="T86" s="23">
        <f t="shared" si="18"/>
        <v>0</v>
      </c>
      <c r="U86" s="23">
        <f t="shared" si="18"/>
        <v>0</v>
      </c>
      <c r="V86" s="23">
        <f t="shared" si="18"/>
        <v>400000</v>
      </c>
      <c r="W86" s="23">
        <f t="shared" si="18"/>
        <v>0</v>
      </c>
      <c r="X86" s="23">
        <f t="shared" si="18"/>
        <v>0</v>
      </c>
      <c r="Y86" s="118">
        <f t="shared" si="4"/>
        <v>0</v>
      </c>
      <c r="Z86" s="23">
        <f t="shared" si="18"/>
        <v>0</v>
      </c>
      <c r="AA86" s="118">
        <f t="shared" si="16"/>
        <v>0</v>
      </c>
      <c r="AB86" s="118"/>
      <c r="AC86" s="24"/>
      <c r="AD86" s="118">
        <f t="shared" si="17"/>
        <v>400000</v>
      </c>
    </row>
    <row r="87" spans="1:30" ht="30.75">
      <c r="A87" s="185"/>
      <c r="B87" s="185"/>
      <c r="C87" s="185"/>
      <c r="D87" s="184"/>
      <c r="E87" s="19" t="s">
        <v>431</v>
      </c>
      <c r="F87" s="96">
        <v>2036</v>
      </c>
      <c r="G87" s="58"/>
      <c r="H87" s="20"/>
      <c r="I87" s="58"/>
      <c r="J87" s="58">
        <v>3110</v>
      </c>
      <c r="K87" s="20">
        <v>400000</v>
      </c>
      <c r="L87" s="34"/>
      <c r="M87" s="125"/>
      <c r="N87" s="125"/>
      <c r="O87" s="125"/>
      <c r="P87" s="125"/>
      <c r="Q87" s="125"/>
      <c r="R87" s="125"/>
      <c r="S87" s="125"/>
      <c r="T87" s="125"/>
      <c r="U87" s="125"/>
      <c r="V87" s="20">
        <v>400000</v>
      </c>
      <c r="W87" s="125"/>
      <c r="X87" s="125"/>
      <c r="Y87" s="118">
        <f t="shared" si="4"/>
        <v>0</v>
      </c>
      <c r="Z87" s="125"/>
      <c r="AA87" s="118">
        <f t="shared" si="16"/>
        <v>0</v>
      </c>
      <c r="AB87" s="118"/>
      <c r="AC87" s="24"/>
      <c r="AD87" s="118">
        <f t="shared" si="17"/>
        <v>400000</v>
      </c>
    </row>
    <row r="88" spans="1:30" ht="21" hidden="1">
      <c r="A88" s="185" t="s">
        <v>433</v>
      </c>
      <c r="B88" s="185" t="s">
        <v>432</v>
      </c>
      <c r="C88" s="185" t="s">
        <v>55</v>
      </c>
      <c r="D88" s="184" t="s">
        <v>435</v>
      </c>
      <c r="E88" s="19"/>
      <c r="F88" s="96"/>
      <c r="G88" s="20"/>
      <c r="H88" s="24"/>
      <c r="I88" s="33"/>
      <c r="J88" s="58"/>
      <c r="K88" s="23">
        <f>K89</f>
        <v>0</v>
      </c>
      <c r="L88" s="23">
        <f aca="true" t="shared" si="19" ref="L88:Z88">L89</f>
        <v>0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118">
        <f t="shared" si="4"/>
        <v>0</v>
      </c>
      <c r="Z88" s="23">
        <f t="shared" si="19"/>
        <v>0</v>
      </c>
      <c r="AA88" s="118">
        <f t="shared" si="16"/>
        <v>0</v>
      </c>
      <c r="AB88" s="118"/>
      <c r="AC88" s="24"/>
      <c r="AD88" s="118">
        <f t="shared" si="17"/>
        <v>0</v>
      </c>
    </row>
    <row r="89" spans="1:30" ht="30.75" hidden="1">
      <c r="A89" s="185"/>
      <c r="B89" s="185"/>
      <c r="C89" s="185"/>
      <c r="D89" s="184"/>
      <c r="E89" s="19" t="s">
        <v>434</v>
      </c>
      <c r="F89" s="96">
        <v>2037</v>
      </c>
      <c r="G89" s="58"/>
      <c r="H89" s="20"/>
      <c r="I89" s="58"/>
      <c r="J89" s="58"/>
      <c r="K89" s="20">
        <f>1000000-1000000</f>
        <v>0</v>
      </c>
      <c r="L89" s="34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20">
        <f>1000000-1000000</f>
        <v>0</v>
      </c>
      <c r="Y89" s="118">
        <f t="shared" si="4"/>
        <v>0</v>
      </c>
      <c r="Z89" s="24"/>
      <c r="AA89" s="118">
        <f t="shared" si="16"/>
        <v>0</v>
      </c>
      <c r="AB89" s="118"/>
      <c r="AC89" s="24"/>
      <c r="AD89" s="118">
        <f t="shared" si="17"/>
        <v>0</v>
      </c>
    </row>
    <row r="90" spans="1:30" ht="21">
      <c r="A90" s="185" t="s">
        <v>57</v>
      </c>
      <c r="B90" s="185" t="s">
        <v>58</v>
      </c>
      <c r="C90" s="185" t="s">
        <v>59</v>
      </c>
      <c r="D90" s="184" t="s">
        <v>60</v>
      </c>
      <c r="E90" s="19"/>
      <c r="F90" s="96"/>
      <c r="G90" s="20"/>
      <c r="H90" s="24"/>
      <c r="I90" s="33"/>
      <c r="J90" s="58"/>
      <c r="K90" s="23">
        <f>K91</f>
        <v>2308000</v>
      </c>
      <c r="L90" s="23">
        <f aca="true" t="shared" si="20" ref="L90:Z90">L91</f>
        <v>0</v>
      </c>
      <c r="M90" s="23">
        <f t="shared" si="20"/>
        <v>0</v>
      </c>
      <c r="N90" s="23">
        <f t="shared" si="20"/>
        <v>0</v>
      </c>
      <c r="O90" s="23">
        <f t="shared" si="20"/>
        <v>0</v>
      </c>
      <c r="P90" s="23">
        <f t="shared" si="20"/>
        <v>0</v>
      </c>
      <c r="Q90" s="23">
        <f t="shared" si="20"/>
        <v>0</v>
      </c>
      <c r="R90" s="23">
        <f t="shared" si="20"/>
        <v>196872.55</v>
      </c>
      <c r="S90" s="23">
        <f t="shared" si="20"/>
        <v>-193620.64</v>
      </c>
      <c r="T90" s="23">
        <f t="shared" si="20"/>
        <v>1522001</v>
      </c>
      <c r="U90" s="23">
        <f t="shared" si="20"/>
        <v>625374.51</v>
      </c>
      <c r="V90" s="23">
        <f t="shared" si="20"/>
        <v>0</v>
      </c>
      <c r="W90" s="23">
        <f t="shared" si="20"/>
        <v>0</v>
      </c>
      <c r="X90" s="23">
        <f t="shared" si="20"/>
        <v>157372.58</v>
      </c>
      <c r="Y90" s="118">
        <f aca="true" t="shared" si="21" ref="Y90:Y154">K90-M90-N90-O90-P90-Q90-R90-S90-T90-U90-V90-W90-X90</f>
        <v>3.2014213502407074E-10</v>
      </c>
      <c r="Z90" s="23">
        <f t="shared" si="20"/>
        <v>0</v>
      </c>
      <c r="AA90" s="118">
        <f t="shared" si="16"/>
        <v>3251.9099999999744</v>
      </c>
      <c r="AB90" s="118"/>
      <c r="AC90" s="24"/>
      <c r="AD90" s="118">
        <f t="shared" si="17"/>
        <v>2308000</v>
      </c>
    </row>
    <row r="91" spans="1:30" ht="21">
      <c r="A91" s="185"/>
      <c r="B91" s="185"/>
      <c r="C91" s="185"/>
      <c r="D91" s="184"/>
      <c r="E91" s="19" t="s">
        <v>436</v>
      </c>
      <c r="F91" s="96">
        <v>2038</v>
      </c>
      <c r="G91" s="58"/>
      <c r="H91" s="20"/>
      <c r="I91" s="58"/>
      <c r="J91" s="58">
        <v>3110</v>
      </c>
      <c r="K91" s="20">
        <v>2308000</v>
      </c>
      <c r="L91" s="50"/>
      <c r="M91" s="20"/>
      <c r="N91" s="20"/>
      <c r="O91" s="20"/>
      <c r="P91" s="20"/>
      <c r="Q91" s="20"/>
      <c r="R91" s="20">
        <v>196872.55</v>
      </c>
      <c r="S91" s="20">
        <f>96379.35+0.01-290000</f>
        <v>-193620.64</v>
      </c>
      <c r="T91" s="20">
        <f>1232001+290000</f>
        <v>1522001</v>
      </c>
      <c r="U91" s="20">
        <v>625374.51</v>
      </c>
      <c r="V91" s="20"/>
      <c r="W91" s="20"/>
      <c r="X91" s="20">
        <f>157372.59-0.01</f>
        <v>157372.58</v>
      </c>
      <c r="Y91" s="118">
        <f t="shared" si="21"/>
        <v>3.2014213502407074E-10</v>
      </c>
      <c r="Z91" s="24"/>
      <c r="AA91" s="118">
        <f t="shared" si="16"/>
        <v>3251.9099999999744</v>
      </c>
      <c r="AB91" s="118"/>
      <c r="AC91" s="24"/>
      <c r="AD91" s="118">
        <f t="shared" si="17"/>
        <v>2308000</v>
      </c>
    </row>
    <row r="92" spans="1:30" ht="21">
      <c r="A92" s="173" t="s">
        <v>61</v>
      </c>
      <c r="B92" s="174">
        <v>5031</v>
      </c>
      <c r="C92" s="173" t="s">
        <v>62</v>
      </c>
      <c r="D92" s="172" t="s">
        <v>63</v>
      </c>
      <c r="E92" s="19"/>
      <c r="F92" s="96"/>
      <c r="G92" s="20"/>
      <c r="H92" s="24"/>
      <c r="I92" s="33"/>
      <c r="J92" s="58"/>
      <c r="K92" s="23">
        <f>SUM(K93:K119)</f>
        <v>687614</v>
      </c>
      <c r="L92" s="23">
        <f aca="true" t="shared" si="22" ref="L92:Z92">SUM(L93:L119)</f>
        <v>0</v>
      </c>
      <c r="M92" s="23">
        <f t="shared" si="22"/>
        <v>0</v>
      </c>
      <c r="N92" s="23">
        <f t="shared" si="22"/>
        <v>0</v>
      </c>
      <c r="O92" s="23">
        <f t="shared" si="22"/>
        <v>0</v>
      </c>
      <c r="P92" s="23">
        <f t="shared" si="22"/>
        <v>0</v>
      </c>
      <c r="Q92" s="23">
        <f t="shared" si="22"/>
        <v>687614</v>
      </c>
      <c r="R92" s="23">
        <f t="shared" si="22"/>
        <v>0</v>
      </c>
      <c r="S92" s="23">
        <f t="shared" si="22"/>
        <v>-70000</v>
      </c>
      <c r="T92" s="23">
        <f t="shared" si="22"/>
        <v>0</v>
      </c>
      <c r="U92" s="23">
        <f t="shared" si="22"/>
        <v>70000</v>
      </c>
      <c r="V92" s="23">
        <f t="shared" si="22"/>
        <v>0</v>
      </c>
      <c r="W92" s="23">
        <f t="shared" si="22"/>
        <v>0</v>
      </c>
      <c r="X92" s="23">
        <f t="shared" si="22"/>
        <v>0</v>
      </c>
      <c r="Y92" s="118">
        <f t="shared" si="21"/>
        <v>0</v>
      </c>
      <c r="Z92" s="23">
        <f t="shared" si="22"/>
        <v>202600</v>
      </c>
      <c r="AA92" s="118">
        <f t="shared" si="16"/>
        <v>415014</v>
      </c>
      <c r="AB92" s="118"/>
      <c r="AC92" s="24"/>
      <c r="AD92" s="118">
        <f t="shared" si="17"/>
        <v>485014</v>
      </c>
    </row>
    <row r="93" spans="1:30" ht="21" hidden="1">
      <c r="A93" s="173"/>
      <c r="B93" s="174"/>
      <c r="C93" s="173"/>
      <c r="D93" s="172"/>
      <c r="E93" s="63" t="s">
        <v>451</v>
      </c>
      <c r="F93" s="97"/>
      <c r="G93" s="58"/>
      <c r="H93" s="20"/>
      <c r="I93" s="58"/>
      <c r="J93" s="58"/>
      <c r="K93" s="20"/>
      <c r="L93" s="50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118">
        <f t="shared" si="21"/>
        <v>0</v>
      </c>
      <c r="Z93" s="24"/>
      <c r="AA93" s="118">
        <f t="shared" si="16"/>
        <v>0</v>
      </c>
      <c r="AB93" s="118"/>
      <c r="AC93" s="24"/>
      <c r="AD93" s="118">
        <f t="shared" si="17"/>
        <v>0</v>
      </c>
    </row>
    <row r="94" spans="1:30" ht="30.75">
      <c r="A94" s="173"/>
      <c r="B94" s="174"/>
      <c r="C94" s="173"/>
      <c r="D94" s="172"/>
      <c r="E94" s="19" t="s">
        <v>437</v>
      </c>
      <c r="F94" s="96">
        <v>2039</v>
      </c>
      <c r="G94" s="58"/>
      <c r="H94" s="20"/>
      <c r="I94" s="58"/>
      <c r="J94" s="58">
        <v>3110</v>
      </c>
      <c r="K94" s="20">
        <v>617614</v>
      </c>
      <c r="L94" s="34"/>
      <c r="M94" s="20"/>
      <c r="N94" s="20"/>
      <c r="O94" s="20"/>
      <c r="P94" s="20"/>
      <c r="Q94" s="20">
        <v>617614</v>
      </c>
      <c r="R94" s="20"/>
      <c r="S94" s="20"/>
      <c r="T94" s="20"/>
      <c r="U94" s="20"/>
      <c r="V94" s="20"/>
      <c r="W94" s="20"/>
      <c r="X94" s="20"/>
      <c r="Y94" s="118">
        <f t="shared" si="21"/>
        <v>0</v>
      </c>
      <c r="Z94" s="24">
        <f>202600</f>
        <v>202600</v>
      </c>
      <c r="AA94" s="118">
        <f t="shared" si="16"/>
        <v>415014</v>
      </c>
      <c r="AB94" s="118"/>
      <c r="AC94" s="24"/>
      <c r="AD94" s="118">
        <f t="shared" si="17"/>
        <v>415014</v>
      </c>
    </row>
    <row r="95" spans="1:30" ht="21" hidden="1">
      <c r="A95" s="173"/>
      <c r="B95" s="174"/>
      <c r="C95" s="173"/>
      <c r="D95" s="172"/>
      <c r="E95" s="26" t="s">
        <v>441</v>
      </c>
      <c r="F95" s="97">
        <v>2040</v>
      </c>
      <c r="G95" s="58"/>
      <c r="H95" s="20"/>
      <c r="I95" s="58"/>
      <c r="J95" s="58"/>
      <c r="K95" s="20">
        <f>8000-8000</f>
        <v>0</v>
      </c>
      <c r="L95" s="34"/>
      <c r="M95" s="20"/>
      <c r="N95" s="20"/>
      <c r="O95" s="20"/>
      <c r="P95" s="20"/>
      <c r="Q95" s="20">
        <f>8000-8000</f>
        <v>0</v>
      </c>
      <c r="R95" s="20"/>
      <c r="S95" s="20"/>
      <c r="T95" s="20"/>
      <c r="U95" s="20"/>
      <c r="V95" s="20"/>
      <c r="W95" s="20"/>
      <c r="X95" s="20"/>
      <c r="Y95" s="118">
        <f t="shared" si="21"/>
        <v>0</v>
      </c>
      <c r="Z95" s="24"/>
      <c r="AA95" s="118">
        <f t="shared" si="16"/>
        <v>0</v>
      </c>
      <c r="AB95" s="118"/>
      <c r="AC95" s="24"/>
      <c r="AD95" s="118">
        <f t="shared" si="17"/>
        <v>0</v>
      </c>
    </row>
    <row r="96" spans="1:30" ht="21" hidden="1">
      <c r="A96" s="173"/>
      <c r="B96" s="174"/>
      <c r="C96" s="173"/>
      <c r="D96" s="172"/>
      <c r="E96" s="26" t="s">
        <v>442</v>
      </c>
      <c r="F96" s="96">
        <v>2041</v>
      </c>
      <c r="G96" s="58"/>
      <c r="H96" s="20"/>
      <c r="I96" s="58"/>
      <c r="J96" s="58"/>
      <c r="K96" s="20">
        <f>14000-14000</f>
        <v>0</v>
      </c>
      <c r="L96" s="34"/>
      <c r="M96" s="20"/>
      <c r="N96" s="20"/>
      <c r="O96" s="20"/>
      <c r="P96" s="20"/>
      <c r="Q96" s="20">
        <f>14000-14000</f>
        <v>0</v>
      </c>
      <c r="R96" s="20"/>
      <c r="S96" s="20"/>
      <c r="T96" s="20"/>
      <c r="U96" s="20"/>
      <c r="V96" s="20"/>
      <c r="W96" s="20"/>
      <c r="X96" s="20"/>
      <c r="Y96" s="118">
        <f t="shared" si="21"/>
        <v>0</v>
      </c>
      <c r="Z96" s="24"/>
      <c r="AA96" s="118">
        <f t="shared" si="16"/>
        <v>0</v>
      </c>
      <c r="AB96" s="118"/>
      <c r="AC96" s="24"/>
      <c r="AD96" s="118">
        <f t="shared" si="17"/>
        <v>0</v>
      </c>
    </row>
    <row r="97" spans="1:30" ht="21" hidden="1">
      <c r="A97" s="173"/>
      <c r="B97" s="174"/>
      <c r="C97" s="173"/>
      <c r="D97" s="172"/>
      <c r="E97" s="19" t="s">
        <v>438</v>
      </c>
      <c r="F97" s="97">
        <v>2042</v>
      </c>
      <c r="G97" s="58"/>
      <c r="H97" s="20"/>
      <c r="I97" s="58"/>
      <c r="J97" s="58"/>
      <c r="K97" s="20">
        <f>70000-70000</f>
        <v>0</v>
      </c>
      <c r="L97" s="34"/>
      <c r="M97" s="20"/>
      <c r="N97" s="20"/>
      <c r="O97" s="20"/>
      <c r="P97" s="20"/>
      <c r="Q97" s="20">
        <f>70000-70000</f>
        <v>0</v>
      </c>
      <c r="R97" s="20"/>
      <c r="S97" s="20"/>
      <c r="T97" s="20"/>
      <c r="U97" s="20"/>
      <c r="V97" s="20"/>
      <c r="W97" s="20"/>
      <c r="X97" s="20"/>
      <c r="Y97" s="118">
        <f t="shared" si="21"/>
        <v>0</v>
      </c>
      <c r="Z97" s="24"/>
      <c r="AA97" s="118">
        <f t="shared" si="16"/>
        <v>0</v>
      </c>
      <c r="AB97" s="118"/>
      <c r="AC97" s="24"/>
      <c r="AD97" s="118">
        <f t="shared" si="17"/>
        <v>0</v>
      </c>
    </row>
    <row r="98" spans="1:30" ht="30.75" hidden="1">
      <c r="A98" s="173"/>
      <c r="B98" s="174"/>
      <c r="C98" s="173"/>
      <c r="D98" s="172"/>
      <c r="E98" s="19" t="s">
        <v>849</v>
      </c>
      <c r="F98" s="96">
        <v>2043</v>
      </c>
      <c r="G98" s="58"/>
      <c r="H98" s="20"/>
      <c r="I98" s="58"/>
      <c r="J98" s="58"/>
      <c r="K98" s="20">
        <f>12000-12000</f>
        <v>0</v>
      </c>
      <c r="L98" s="34"/>
      <c r="M98" s="20"/>
      <c r="N98" s="20"/>
      <c r="O98" s="20"/>
      <c r="P98" s="20"/>
      <c r="Q98" s="20">
        <f>12000-12000</f>
        <v>0</v>
      </c>
      <c r="R98" s="20"/>
      <c r="S98" s="20"/>
      <c r="T98" s="20"/>
      <c r="U98" s="20"/>
      <c r="V98" s="20"/>
      <c r="W98" s="20"/>
      <c r="X98" s="20"/>
      <c r="Y98" s="118">
        <f t="shared" si="21"/>
        <v>0</v>
      </c>
      <c r="Z98" s="24"/>
      <c r="AA98" s="118">
        <f t="shared" si="16"/>
        <v>0</v>
      </c>
      <c r="AB98" s="118"/>
      <c r="AC98" s="24"/>
      <c r="AD98" s="118">
        <f t="shared" si="17"/>
        <v>0</v>
      </c>
    </row>
    <row r="99" spans="1:30" ht="30.75">
      <c r="A99" s="173"/>
      <c r="B99" s="174"/>
      <c r="C99" s="173"/>
      <c r="D99" s="172"/>
      <c r="E99" s="19" t="s">
        <v>439</v>
      </c>
      <c r="F99" s="97">
        <v>2044</v>
      </c>
      <c r="G99" s="58"/>
      <c r="H99" s="20"/>
      <c r="I99" s="58"/>
      <c r="J99" s="58">
        <v>3110</v>
      </c>
      <c r="K99" s="20">
        <v>70000</v>
      </c>
      <c r="L99" s="34"/>
      <c r="M99" s="20"/>
      <c r="N99" s="20"/>
      <c r="O99" s="20"/>
      <c r="P99" s="20"/>
      <c r="Q99" s="20">
        <v>70000</v>
      </c>
      <c r="R99" s="20"/>
      <c r="S99" s="20">
        <f>-70000</f>
        <v>-70000</v>
      </c>
      <c r="T99" s="20"/>
      <c r="U99" s="20">
        <f>70000</f>
        <v>70000</v>
      </c>
      <c r="V99" s="20"/>
      <c r="W99" s="20"/>
      <c r="X99" s="20"/>
      <c r="Y99" s="118">
        <f t="shared" si="21"/>
        <v>0</v>
      </c>
      <c r="Z99" s="24"/>
      <c r="AA99" s="118">
        <f t="shared" si="16"/>
        <v>0</v>
      </c>
      <c r="AB99" s="118"/>
      <c r="AC99" s="24"/>
      <c r="AD99" s="118">
        <f t="shared" si="17"/>
        <v>70000</v>
      </c>
    </row>
    <row r="100" spans="1:30" ht="30.75" hidden="1">
      <c r="A100" s="173"/>
      <c r="B100" s="174"/>
      <c r="C100" s="173"/>
      <c r="D100" s="172"/>
      <c r="E100" s="26" t="s">
        <v>446</v>
      </c>
      <c r="F100" s="96">
        <v>2045</v>
      </c>
      <c r="G100" s="58"/>
      <c r="H100" s="20"/>
      <c r="I100" s="58"/>
      <c r="J100" s="58"/>
      <c r="K100" s="20">
        <f>100000-100000</f>
        <v>0</v>
      </c>
      <c r="L100" s="34"/>
      <c r="M100" s="20"/>
      <c r="N100" s="20"/>
      <c r="O100" s="20"/>
      <c r="P100" s="20"/>
      <c r="Q100" s="20">
        <f>100000-100000</f>
        <v>0</v>
      </c>
      <c r="R100" s="20"/>
      <c r="S100" s="20"/>
      <c r="T100" s="20"/>
      <c r="U100" s="20"/>
      <c r="V100" s="20"/>
      <c r="W100" s="20"/>
      <c r="X100" s="20"/>
      <c r="Y100" s="118">
        <f t="shared" si="21"/>
        <v>0</v>
      </c>
      <c r="Z100" s="24"/>
      <c r="AA100" s="118">
        <f t="shared" si="16"/>
        <v>0</v>
      </c>
      <c r="AB100" s="118"/>
      <c r="AC100" s="24"/>
      <c r="AD100" s="118">
        <f t="shared" si="17"/>
        <v>0</v>
      </c>
    </row>
    <row r="101" spans="1:30" ht="21" hidden="1">
      <c r="A101" s="173"/>
      <c r="B101" s="174"/>
      <c r="C101" s="173"/>
      <c r="D101" s="172"/>
      <c r="E101" s="19" t="s">
        <v>850</v>
      </c>
      <c r="F101" s="97">
        <v>2046</v>
      </c>
      <c r="G101" s="58"/>
      <c r="H101" s="20"/>
      <c r="I101" s="58"/>
      <c r="J101" s="58"/>
      <c r="K101" s="20">
        <f>7950-7950</f>
        <v>0</v>
      </c>
      <c r="L101" s="34"/>
      <c r="M101" s="20"/>
      <c r="N101" s="20"/>
      <c r="O101" s="20"/>
      <c r="P101" s="20"/>
      <c r="Q101" s="20">
        <f>7950-7950</f>
        <v>0</v>
      </c>
      <c r="R101" s="20"/>
      <c r="S101" s="20"/>
      <c r="T101" s="20"/>
      <c r="U101" s="20"/>
      <c r="V101" s="20"/>
      <c r="W101" s="20"/>
      <c r="X101" s="20"/>
      <c r="Y101" s="118">
        <f t="shared" si="21"/>
        <v>0</v>
      </c>
      <c r="Z101" s="24"/>
      <c r="AA101" s="118">
        <f t="shared" si="16"/>
        <v>0</v>
      </c>
      <c r="AB101" s="118"/>
      <c r="AC101" s="24"/>
      <c r="AD101" s="118">
        <f t="shared" si="17"/>
        <v>0</v>
      </c>
    </row>
    <row r="102" spans="1:30" ht="30.75" hidden="1">
      <c r="A102" s="173"/>
      <c r="B102" s="174"/>
      <c r="C102" s="173"/>
      <c r="D102" s="172"/>
      <c r="E102" s="26" t="s">
        <v>445</v>
      </c>
      <c r="F102" s="96">
        <v>2047</v>
      </c>
      <c r="G102" s="58"/>
      <c r="H102" s="20"/>
      <c r="I102" s="58"/>
      <c r="J102" s="58"/>
      <c r="K102" s="20">
        <f>300-300</f>
        <v>0</v>
      </c>
      <c r="L102" s="34"/>
      <c r="M102" s="20"/>
      <c r="N102" s="20"/>
      <c r="O102" s="20"/>
      <c r="P102" s="20"/>
      <c r="Q102" s="20">
        <f>300-300</f>
        <v>0</v>
      </c>
      <c r="R102" s="20"/>
      <c r="S102" s="20"/>
      <c r="T102" s="20"/>
      <c r="U102" s="20"/>
      <c r="V102" s="20"/>
      <c r="W102" s="20"/>
      <c r="X102" s="20"/>
      <c r="Y102" s="118">
        <f t="shared" si="21"/>
        <v>0</v>
      </c>
      <c r="Z102" s="24"/>
      <c r="AA102" s="118">
        <f t="shared" si="16"/>
        <v>0</v>
      </c>
      <c r="AB102" s="118"/>
      <c r="AC102" s="24"/>
      <c r="AD102" s="118">
        <f t="shared" si="17"/>
        <v>0</v>
      </c>
    </row>
    <row r="103" spans="1:30" ht="21" hidden="1">
      <c r="A103" s="173"/>
      <c r="B103" s="174"/>
      <c r="C103" s="173"/>
      <c r="D103" s="172"/>
      <c r="E103" s="26" t="s">
        <v>851</v>
      </c>
      <c r="F103" s="97">
        <v>2048</v>
      </c>
      <c r="G103" s="58"/>
      <c r="H103" s="20"/>
      <c r="I103" s="58"/>
      <c r="J103" s="58"/>
      <c r="K103" s="20">
        <f>12000-12000</f>
        <v>0</v>
      </c>
      <c r="L103" s="34"/>
      <c r="M103" s="20"/>
      <c r="N103" s="20"/>
      <c r="O103" s="20"/>
      <c r="P103" s="20"/>
      <c r="Q103" s="20">
        <f>12000-12000</f>
        <v>0</v>
      </c>
      <c r="R103" s="20"/>
      <c r="S103" s="20"/>
      <c r="T103" s="20"/>
      <c r="U103" s="20"/>
      <c r="V103" s="20"/>
      <c r="W103" s="20"/>
      <c r="X103" s="20"/>
      <c r="Y103" s="118">
        <f t="shared" si="21"/>
        <v>0</v>
      </c>
      <c r="Z103" s="24"/>
      <c r="AA103" s="118">
        <f t="shared" si="16"/>
        <v>0</v>
      </c>
      <c r="AB103" s="118"/>
      <c r="AC103" s="24"/>
      <c r="AD103" s="118">
        <f t="shared" si="17"/>
        <v>0</v>
      </c>
    </row>
    <row r="104" spans="1:30" ht="21" hidden="1">
      <c r="A104" s="173"/>
      <c r="B104" s="174"/>
      <c r="C104" s="173"/>
      <c r="D104" s="172"/>
      <c r="E104" s="26" t="s">
        <v>852</v>
      </c>
      <c r="F104" s="96">
        <v>2049</v>
      </c>
      <c r="G104" s="58"/>
      <c r="H104" s="20"/>
      <c r="I104" s="58"/>
      <c r="J104" s="58"/>
      <c r="K104" s="20">
        <f>9000-9000</f>
        <v>0</v>
      </c>
      <c r="L104" s="34"/>
      <c r="M104" s="20"/>
      <c r="N104" s="20"/>
      <c r="O104" s="20"/>
      <c r="P104" s="20"/>
      <c r="Q104" s="20">
        <f>9000-9000</f>
        <v>0</v>
      </c>
      <c r="R104" s="20"/>
      <c r="S104" s="20"/>
      <c r="T104" s="20"/>
      <c r="U104" s="20"/>
      <c r="V104" s="20"/>
      <c r="W104" s="20"/>
      <c r="X104" s="20"/>
      <c r="Y104" s="118">
        <f t="shared" si="21"/>
        <v>0</v>
      </c>
      <c r="Z104" s="24"/>
      <c r="AA104" s="118">
        <f t="shared" si="16"/>
        <v>0</v>
      </c>
      <c r="AB104" s="118"/>
      <c r="AC104" s="24"/>
      <c r="AD104" s="118">
        <f t="shared" si="17"/>
        <v>0</v>
      </c>
    </row>
    <row r="105" spans="1:30" ht="30.75" hidden="1">
      <c r="A105" s="173"/>
      <c r="B105" s="174"/>
      <c r="C105" s="173"/>
      <c r="D105" s="172"/>
      <c r="E105" s="26" t="s">
        <v>447</v>
      </c>
      <c r="F105" s="97">
        <v>2050</v>
      </c>
      <c r="G105" s="58"/>
      <c r="H105" s="20"/>
      <c r="I105" s="58"/>
      <c r="J105" s="58"/>
      <c r="K105" s="20">
        <f>100000-100000</f>
        <v>0</v>
      </c>
      <c r="L105" s="34"/>
      <c r="M105" s="20"/>
      <c r="N105" s="20"/>
      <c r="O105" s="20"/>
      <c r="P105" s="20"/>
      <c r="Q105" s="20">
        <f>100000-100000</f>
        <v>0</v>
      </c>
      <c r="R105" s="20"/>
      <c r="S105" s="20"/>
      <c r="T105" s="20"/>
      <c r="U105" s="20"/>
      <c r="V105" s="20"/>
      <c r="W105" s="20"/>
      <c r="X105" s="20"/>
      <c r="Y105" s="118">
        <f t="shared" si="21"/>
        <v>0</v>
      </c>
      <c r="Z105" s="24"/>
      <c r="AA105" s="118">
        <f t="shared" si="16"/>
        <v>0</v>
      </c>
      <c r="AB105" s="118"/>
      <c r="AC105" s="24"/>
      <c r="AD105" s="118">
        <f t="shared" si="17"/>
        <v>0</v>
      </c>
    </row>
    <row r="106" spans="1:30" ht="21" hidden="1">
      <c r="A106" s="173"/>
      <c r="B106" s="174"/>
      <c r="C106" s="173"/>
      <c r="D106" s="172"/>
      <c r="E106" s="26" t="s">
        <v>448</v>
      </c>
      <c r="F106" s="96">
        <v>2051</v>
      </c>
      <c r="G106" s="58"/>
      <c r="H106" s="20"/>
      <c r="I106" s="58"/>
      <c r="J106" s="58"/>
      <c r="K106" s="20">
        <f>75000-75000</f>
        <v>0</v>
      </c>
      <c r="L106" s="34"/>
      <c r="M106" s="20"/>
      <c r="N106" s="20"/>
      <c r="O106" s="20"/>
      <c r="P106" s="20"/>
      <c r="Q106" s="20">
        <f>75000-75000</f>
        <v>0</v>
      </c>
      <c r="R106" s="20"/>
      <c r="S106" s="20"/>
      <c r="T106" s="20"/>
      <c r="U106" s="20"/>
      <c r="V106" s="20"/>
      <c r="W106" s="20"/>
      <c r="X106" s="20"/>
      <c r="Y106" s="118">
        <f t="shared" si="21"/>
        <v>0</v>
      </c>
      <c r="Z106" s="24"/>
      <c r="AA106" s="118">
        <f t="shared" si="16"/>
        <v>0</v>
      </c>
      <c r="AB106" s="118"/>
      <c r="AC106" s="24"/>
      <c r="AD106" s="118">
        <f t="shared" si="17"/>
        <v>0</v>
      </c>
    </row>
    <row r="107" spans="1:30" ht="30.75" hidden="1">
      <c r="A107" s="173"/>
      <c r="B107" s="174"/>
      <c r="C107" s="173"/>
      <c r="D107" s="172"/>
      <c r="E107" s="26" t="s">
        <v>449</v>
      </c>
      <c r="F107" s="97">
        <v>2052</v>
      </c>
      <c r="G107" s="58"/>
      <c r="H107" s="20"/>
      <c r="I107" s="58"/>
      <c r="J107" s="58"/>
      <c r="K107" s="20">
        <f>400000-400000</f>
        <v>0</v>
      </c>
      <c r="L107" s="34"/>
      <c r="M107" s="20"/>
      <c r="N107" s="20"/>
      <c r="O107" s="20"/>
      <c r="P107" s="20"/>
      <c r="Q107" s="20">
        <f>400000-400000</f>
        <v>0</v>
      </c>
      <c r="R107" s="20"/>
      <c r="S107" s="20"/>
      <c r="T107" s="20"/>
      <c r="U107" s="20"/>
      <c r="V107" s="20"/>
      <c r="W107" s="20"/>
      <c r="X107" s="20"/>
      <c r="Y107" s="118">
        <f t="shared" si="21"/>
        <v>0</v>
      </c>
      <c r="Z107" s="24"/>
      <c r="AA107" s="118">
        <f t="shared" si="16"/>
        <v>0</v>
      </c>
      <c r="AB107" s="118"/>
      <c r="AC107" s="24"/>
      <c r="AD107" s="118">
        <f t="shared" si="17"/>
        <v>0</v>
      </c>
    </row>
    <row r="108" spans="1:30" ht="21" hidden="1">
      <c r="A108" s="173"/>
      <c r="B108" s="174"/>
      <c r="C108" s="173"/>
      <c r="D108" s="172"/>
      <c r="E108" s="26" t="s">
        <v>450</v>
      </c>
      <c r="F108" s="96">
        <v>2053</v>
      </c>
      <c r="G108" s="58"/>
      <c r="H108" s="20"/>
      <c r="I108" s="58"/>
      <c r="J108" s="58"/>
      <c r="K108" s="20">
        <f>50000-50000</f>
        <v>0</v>
      </c>
      <c r="L108" s="34"/>
      <c r="M108" s="20"/>
      <c r="N108" s="20"/>
      <c r="O108" s="20"/>
      <c r="P108" s="20"/>
      <c r="Q108" s="20">
        <f>50000-50000</f>
        <v>0</v>
      </c>
      <c r="R108" s="20"/>
      <c r="S108" s="20"/>
      <c r="T108" s="20"/>
      <c r="U108" s="20"/>
      <c r="V108" s="20"/>
      <c r="W108" s="20"/>
      <c r="X108" s="20"/>
      <c r="Y108" s="118">
        <f t="shared" si="21"/>
        <v>0</v>
      </c>
      <c r="Z108" s="24"/>
      <c r="AA108" s="118">
        <f t="shared" si="16"/>
        <v>0</v>
      </c>
      <c r="AB108" s="118"/>
      <c r="AC108" s="24"/>
      <c r="AD108" s="118">
        <f t="shared" si="17"/>
        <v>0</v>
      </c>
    </row>
    <row r="109" spans="1:30" ht="21" hidden="1">
      <c r="A109" s="173"/>
      <c r="B109" s="174"/>
      <c r="C109" s="173"/>
      <c r="D109" s="172"/>
      <c r="E109" s="26" t="s">
        <v>669</v>
      </c>
      <c r="F109" s="97">
        <v>2054</v>
      </c>
      <c r="G109" s="58"/>
      <c r="H109" s="20"/>
      <c r="I109" s="58"/>
      <c r="J109" s="58"/>
      <c r="K109" s="20">
        <f>20000-20000</f>
        <v>0</v>
      </c>
      <c r="L109" s="34"/>
      <c r="M109" s="20"/>
      <c r="N109" s="20"/>
      <c r="O109" s="20"/>
      <c r="P109" s="20"/>
      <c r="Q109" s="20">
        <f>20000-20000</f>
        <v>0</v>
      </c>
      <c r="R109" s="20"/>
      <c r="S109" s="20"/>
      <c r="T109" s="20"/>
      <c r="U109" s="20"/>
      <c r="V109" s="20"/>
      <c r="W109" s="20"/>
      <c r="X109" s="20"/>
      <c r="Y109" s="118">
        <f t="shared" si="21"/>
        <v>0</v>
      </c>
      <c r="Z109" s="24"/>
      <c r="AA109" s="118">
        <f t="shared" si="16"/>
        <v>0</v>
      </c>
      <c r="AB109" s="118"/>
      <c r="AC109" s="24"/>
      <c r="AD109" s="118">
        <f t="shared" si="17"/>
        <v>0</v>
      </c>
    </row>
    <row r="110" spans="1:30" ht="21" hidden="1">
      <c r="A110" s="173"/>
      <c r="B110" s="174"/>
      <c r="C110" s="173"/>
      <c r="D110" s="172"/>
      <c r="E110" s="26" t="s">
        <v>670</v>
      </c>
      <c r="F110" s="96">
        <v>2055</v>
      </c>
      <c r="G110" s="58"/>
      <c r="H110" s="20"/>
      <c r="I110" s="58"/>
      <c r="J110" s="58"/>
      <c r="K110" s="20">
        <f>12000-12000</f>
        <v>0</v>
      </c>
      <c r="L110" s="34"/>
      <c r="M110" s="20"/>
      <c r="N110" s="20"/>
      <c r="O110" s="20"/>
      <c r="P110" s="20"/>
      <c r="Q110" s="20">
        <f>12000-12000</f>
        <v>0</v>
      </c>
      <c r="R110" s="20"/>
      <c r="S110" s="20"/>
      <c r="T110" s="20"/>
      <c r="U110" s="20"/>
      <c r="V110" s="20"/>
      <c r="W110" s="20"/>
      <c r="X110" s="20"/>
      <c r="Y110" s="118">
        <f t="shared" si="21"/>
        <v>0</v>
      </c>
      <c r="Z110" s="24"/>
      <c r="AA110" s="118">
        <f t="shared" si="16"/>
        <v>0</v>
      </c>
      <c r="AB110" s="118"/>
      <c r="AC110" s="24"/>
      <c r="AD110" s="118">
        <f t="shared" si="17"/>
        <v>0</v>
      </c>
    </row>
    <row r="111" spans="1:30" ht="21" hidden="1">
      <c r="A111" s="173"/>
      <c r="B111" s="174"/>
      <c r="C111" s="173"/>
      <c r="D111" s="172"/>
      <c r="E111" s="26" t="s">
        <v>671</v>
      </c>
      <c r="F111" s="97">
        <v>2056</v>
      </c>
      <c r="G111" s="58"/>
      <c r="H111" s="20"/>
      <c r="I111" s="58"/>
      <c r="J111" s="58"/>
      <c r="K111" s="20">
        <f>34000-34000</f>
        <v>0</v>
      </c>
      <c r="L111" s="34"/>
      <c r="M111" s="20"/>
      <c r="N111" s="20"/>
      <c r="O111" s="20"/>
      <c r="P111" s="20"/>
      <c r="Q111" s="20">
        <f>34000-34000</f>
        <v>0</v>
      </c>
      <c r="R111" s="20"/>
      <c r="S111" s="20"/>
      <c r="T111" s="20"/>
      <c r="U111" s="20"/>
      <c r="V111" s="20"/>
      <c r="W111" s="20"/>
      <c r="X111" s="20"/>
      <c r="Y111" s="118">
        <f t="shared" si="21"/>
        <v>0</v>
      </c>
      <c r="Z111" s="24"/>
      <c r="AA111" s="118">
        <f t="shared" si="16"/>
        <v>0</v>
      </c>
      <c r="AB111" s="118"/>
      <c r="AC111" s="24"/>
      <c r="AD111" s="118">
        <f t="shared" si="17"/>
        <v>0</v>
      </c>
    </row>
    <row r="112" spans="1:30" ht="30.75" hidden="1">
      <c r="A112" s="173"/>
      <c r="B112" s="174"/>
      <c r="C112" s="173"/>
      <c r="D112" s="172"/>
      <c r="E112" s="26" t="s">
        <v>440</v>
      </c>
      <c r="F112" s="96">
        <v>2057</v>
      </c>
      <c r="G112" s="58"/>
      <c r="H112" s="20"/>
      <c r="I112" s="58"/>
      <c r="J112" s="58"/>
      <c r="K112" s="20">
        <f>20000-20000</f>
        <v>0</v>
      </c>
      <c r="L112" s="34"/>
      <c r="M112" s="20"/>
      <c r="N112" s="20"/>
      <c r="O112" s="20"/>
      <c r="P112" s="20"/>
      <c r="Q112" s="20">
        <f>20000-20000</f>
        <v>0</v>
      </c>
      <c r="R112" s="20"/>
      <c r="S112" s="20"/>
      <c r="T112" s="20"/>
      <c r="U112" s="20"/>
      <c r="V112" s="20"/>
      <c r="W112" s="20"/>
      <c r="X112" s="20"/>
      <c r="Y112" s="118">
        <f t="shared" si="21"/>
        <v>0</v>
      </c>
      <c r="Z112" s="24"/>
      <c r="AA112" s="118">
        <f t="shared" si="16"/>
        <v>0</v>
      </c>
      <c r="AB112" s="118"/>
      <c r="AC112" s="24"/>
      <c r="AD112" s="118">
        <f t="shared" si="17"/>
        <v>0</v>
      </c>
    </row>
    <row r="113" spans="1:30" ht="21" hidden="1">
      <c r="A113" s="173"/>
      <c r="B113" s="174"/>
      <c r="C113" s="173"/>
      <c r="D113" s="172"/>
      <c r="E113" s="26" t="s">
        <v>853</v>
      </c>
      <c r="F113" s="97">
        <v>2058</v>
      </c>
      <c r="G113" s="58"/>
      <c r="H113" s="20"/>
      <c r="I113" s="58"/>
      <c r="J113" s="58"/>
      <c r="K113" s="20">
        <f>7400-7400</f>
        <v>0</v>
      </c>
      <c r="L113" s="34"/>
      <c r="M113" s="20"/>
      <c r="N113" s="20"/>
      <c r="O113" s="20"/>
      <c r="P113" s="20"/>
      <c r="Q113" s="20">
        <f>7400-7400</f>
        <v>0</v>
      </c>
      <c r="R113" s="20"/>
      <c r="S113" s="20"/>
      <c r="T113" s="20"/>
      <c r="U113" s="20"/>
      <c r="V113" s="20"/>
      <c r="W113" s="20"/>
      <c r="X113" s="20"/>
      <c r="Y113" s="118">
        <f t="shared" si="21"/>
        <v>0</v>
      </c>
      <c r="Z113" s="24"/>
      <c r="AA113" s="118">
        <f t="shared" si="16"/>
        <v>0</v>
      </c>
      <c r="AB113" s="118"/>
      <c r="AC113" s="24"/>
      <c r="AD113" s="118">
        <f t="shared" si="17"/>
        <v>0</v>
      </c>
    </row>
    <row r="114" spans="1:30" ht="30.75" hidden="1">
      <c r="A114" s="173"/>
      <c r="B114" s="174"/>
      <c r="C114" s="173"/>
      <c r="D114" s="172"/>
      <c r="E114" s="26" t="s">
        <v>712</v>
      </c>
      <c r="F114" s="96">
        <v>2059</v>
      </c>
      <c r="G114" s="58"/>
      <c r="H114" s="20"/>
      <c r="I114" s="58"/>
      <c r="J114" s="58"/>
      <c r="K114" s="20">
        <f>16000-16000</f>
        <v>0</v>
      </c>
      <c r="L114" s="34"/>
      <c r="M114" s="20"/>
      <c r="N114" s="20"/>
      <c r="O114" s="20"/>
      <c r="P114" s="20"/>
      <c r="Q114" s="20">
        <f>16000-16000</f>
        <v>0</v>
      </c>
      <c r="R114" s="20"/>
      <c r="S114" s="20"/>
      <c r="T114" s="20"/>
      <c r="U114" s="20"/>
      <c r="V114" s="20"/>
      <c r="W114" s="20"/>
      <c r="X114" s="20"/>
      <c r="Y114" s="118">
        <f t="shared" si="21"/>
        <v>0</v>
      </c>
      <c r="Z114" s="24"/>
      <c r="AA114" s="118">
        <f t="shared" si="16"/>
        <v>0</v>
      </c>
      <c r="AB114" s="118"/>
      <c r="AC114" s="24"/>
      <c r="AD114" s="118">
        <f t="shared" si="17"/>
        <v>0</v>
      </c>
    </row>
    <row r="115" spans="1:30" ht="30.75" hidden="1">
      <c r="A115" s="173"/>
      <c r="B115" s="174"/>
      <c r="C115" s="173"/>
      <c r="D115" s="172"/>
      <c r="E115" s="26" t="s">
        <v>443</v>
      </c>
      <c r="F115" s="97">
        <v>2060</v>
      </c>
      <c r="G115" s="58"/>
      <c r="H115" s="20"/>
      <c r="I115" s="58"/>
      <c r="J115" s="58"/>
      <c r="K115" s="20">
        <f>15000-15000</f>
        <v>0</v>
      </c>
      <c r="L115" s="34"/>
      <c r="M115" s="20"/>
      <c r="N115" s="20"/>
      <c r="O115" s="20"/>
      <c r="P115" s="20"/>
      <c r="Q115" s="20">
        <f>15000-15000</f>
        <v>0</v>
      </c>
      <c r="R115" s="20"/>
      <c r="S115" s="20"/>
      <c r="T115" s="20"/>
      <c r="U115" s="20"/>
      <c r="V115" s="20"/>
      <c r="W115" s="20"/>
      <c r="X115" s="20"/>
      <c r="Y115" s="118">
        <f t="shared" si="21"/>
        <v>0</v>
      </c>
      <c r="Z115" s="24"/>
      <c r="AA115" s="118">
        <f t="shared" si="16"/>
        <v>0</v>
      </c>
      <c r="AB115" s="118"/>
      <c r="AC115" s="24"/>
      <c r="AD115" s="118">
        <f t="shared" si="17"/>
        <v>0</v>
      </c>
    </row>
    <row r="116" spans="1:30" ht="21" hidden="1">
      <c r="A116" s="173"/>
      <c r="B116" s="174"/>
      <c r="C116" s="173"/>
      <c r="D116" s="172"/>
      <c r="E116" s="26" t="s">
        <v>672</v>
      </c>
      <c r="F116" s="96">
        <v>2061</v>
      </c>
      <c r="G116" s="58"/>
      <c r="H116" s="20"/>
      <c r="I116" s="58"/>
      <c r="J116" s="58"/>
      <c r="K116" s="20">
        <f>28700-28700</f>
        <v>0</v>
      </c>
      <c r="L116" s="34"/>
      <c r="M116" s="20"/>
      <c r="N116" s="20"/>
      <c r="O116" s="20"/>
      <c r="P116" s="20"/>
      <c r="Q116" s="20">
        <f>28700-28700</f>
        <v>0</v>
      </c>
      <c r="R116" s="20"/>
      <c r="S116" s="20"/>
      <c r="T116" s="20"/>
      <c r="U116" s="20"/>
      <c r="V116" s="20"/>
      <c r="W116" s="20"/>
      <c r="X116" s="20"/>
      <c r="Y116" s="118">
        <f t="shared" si="21"/>
        <v>0</v>
      </c>
      <c r="Z116" s="24"/>
      <c r="AA116" s="118">
        <f t="shared" si="16"/>
        <v>0</v>
      </c>
      <c r="AB116" s="118"/>
      <c r="AC116" s="24"/>
      <c r="AD116" s="118">
        <f t="shared" si="17"/>
        <v>0</v>
      </c>
    </row>
    <row r="117" spans="1:30" ht="30.75" hidden="1">
      <c r="A117" s="173"/>
      <c r="B117" s="174"/>
      <c r="C117" s="173"/>
      <c r="D117" s="172"/>
      <c r="E117" s="26" t="s">
        <v>673</v>
      </c>
      <c r="F117" s="97">
        <v>2062</v>
      </c>
      <c r="G117" s="58"/>
      <c r="H117" s="20"/>
      <c r="I117" s="58"/>
      <c r="J117" s="58"/>
      <c r="K117" s="20">
        <f>14000-14000</f>
        <v>0</v>
      </c>
      <c r="L117" s="34"/>
      <c r="M117" s="20"/>
      <c r="N117" s="20"/>
      <c r="O117" s="20"/>
      <c r="P117" s="20"/>
      <c r="Q117" s="20">
        <f>14000-14000</f>
        <v>0</v>
      </c>
      <c r="R117" s="20"/>
      <c r="S117" s="20"/>
      <c r="T117" s="20"/>
      <c r="U117" s="20"/>
      <c r="V117" s="20"/>
      <c r="W117" s="20"/>
      <c r="X117" s="20"/>
      <c r="Y117" s="118">
        <f t="shared" si="21"/>
        <v>0</v>
      </c>
      <c r="Z117" s="24"/>
      <c r="AA117" s="118">
        <f t="shared" si="16"/>
        <v>0</v>
      </c>
      <c r="AB117" s="118"/>
      <c r="AC117" s="24"/>
      <c r="AD117" s="118">
        <f t="shared" si="17"/>
        <v>0</v>
      </c>
    </row>
    <row r="118" spans="1:30" ht="30.75" hidden="1">
      <c r="A118" s="173"/>
      <c r="B118" s="174"/>
      <c r="C118" s="173"/>
      <c r="D118" s="172"/>
      <c r="E118" s="26" t="s">
        <v>674</v>
      </c>
      <c r="F118" s="96">
        <v>2063</v>
      </c>
      <c r="G118" s="58"/>
      <c r="H118" s="20"/>
      <c r="I118" s="58"/>
      <c r="J118" s="58"/>
      <c r="K118" s="20">
        <f>60000-60000</f>
        <v>0</v>
      </c>
      <c r="L118" s="34"/>
      <c r="M118" s="20"/>
      <c r="N118" s="20"/>
      <c r="O118" s="20"/>
      <c r="P118" s="20"/>
      <c r="Q118" s="20">
        <f>60000-60000</f>
        <v>0</v>
      </c>
      <c r="R118" s="20"/>
      <c r="S118" s="20"/>
      <c r="T118" s="20"/>
      <c r="U118" s="20"/>
      <c r="V118" s="20"/>
      <c r="W118" s="20"/>
      <c r="X118" s="20"/>
      <c r="Y118" s="118">
        <f t="shared" si="21"/>
        <v>0</v>
      </c>
      <c r="Z118" s="24"/>
      <c r="AA118" s="118">
        <f t="shared" si="16"/>
        <v>0</v>
      </c>
      <c r="AB118" s="118"/>
      <c r="AC118" s="24"/>
      <c r="AD118" s="118">
        <f t="shared" si="17"/>
        <v>0</v>
      </c>
    </row>
    <row r="119" spans="1:30" ht="21" hidden="1">
      <c r="A119" s="173"/>
      <c r="B119" s="174"/>
      <c r="C119" s="173"/>
      <c r="D119" s="172"/>
      <c r="E119" s="26" t="s">
        <v>444</v>
      </c>
      <c r="F119" s="97">
        <v>2064</v>
      </c>
      <c r="G119" s="58"/>
      <c r="H119" s="20"/>
      <c r="I119" s="58"/>
      <c r="J119" s="58"/>
      <c r="K119" s="20">
        <f>36000-36000</f>
        <v>0</v>
      </c>
      <c r="L119" s="34"/>
      <c r="M119" s="20"/>
      <c r="N119" s="20"/>
      <c r="O119" s="20"/>
      <c r="P119" s="20"/>
      <c r="Q119" s="20">
        <f>36000-36000</f>
        <v>0</v>
      </c>
      <c r="R119" s="20"/>
      <c r="S119" s="20"/>
      <c r="T119" s="20"/>
      <c r="U119" s="20"/>
      <c r="V119" s="20"/>
      <c r="W119" s="20"/>
      <c r="X119" s="20"/>
      <c r="Y119" s="118">
        <f t="shared" si="21"/>
        <v>0</v>
      </c>
      <c r="Z119" s="24"/>
      <c r="AA119" s="118">
        <f t="shared" si="16"/>
        <v>0</v>
      </c>
      <c r="AB119" s="118"/>
      <c r="AC119" s="24"/>
      <c r="AD119" s="118">
        <f t="shared" si="17"/>
        <v>0</v>
      </c>
    </row>
    <row r="120" spans="1:30" ht="15" customHeight="1">
      <c r="A120" s="173" t="s">
        <v>738</v>
      </c>
      <c r="B120" s="174">
        <v>6082</v>
      </c>
      <c r="C120" s="173" t="s">
        <v>739</v>
      </c>
      <c r="D120" s="172" t="s">
        <v>740</v>
      </c>
      <c r="E120" s="26"/>
      <c r="F120" s="97"/>
      <c r="G120" s="20"/>
      <c r="H120" s="24"/>
      <c r="I120" s="33"/>
      <c r="J120" s="58"/>
      <c r="K120" s="23">
        <f>SUM(K121:K121)</f>
        <v>600000</v>
      </c>
      <c r="L120" s="23">
        <f aca="true" t="shared" si="23" ref="L120:Z120">SUM(L121:L121)</f>
        <v>0</v>
      </c>
      <c r="M120" s="23">
        <f t="shared" si="23"/>
        <v>0</v>
      </c>
      <c r="N120" s="23">
        <f t="shared" si="23"/>
        <v>0</v>
      </c>
      <c r="O120" s="23">
        <f t="shared" si="23"/>
        <v>0</v>
      </c>
      <c r="P120" s="23">
        <f t="shared" si="23"/>
        <v>0</v>
      </c>
      <c r="Q120" s="23">
        <f t="shared" si="23"/>
        <v>0</v>
      </c>
      <c r="R120" s="23">
        <f t="shared" si="23"/>
        <v>0</v>
      </c>
      <c r="S120" s="23">
        <f t="shared" si="23"/>
        <v>0</v>
      </c>
      <c r="T120" s="23">
        <f t="shared" si="23"/>
        <v>0</v>
      </c>
      <c r="U120" s="23">
        <f t="shared" si="23"/>
        <v>0</v>
      </c>
      <c r="V120" s="23">
        <f t="shared" si="23"/>
        <v>0</v>
      </c>
      <c r="W120" s="23">
        <f t="shared" si="23"/>
        <v>0</v>
      </c>
      <c r="X120" s="23">
        <f t="shared" si="23"/>
        <v>600000</v>
      </c>
      <c r="Y120" s="118">
        <f t="shared" si="21"/>
        <v>0</v>
      </c>
      <c r="Z120" s="23">
        <f t="shared" si="23"/>
        <v>0</v>
      </c>
      <c r="AA120" s="118">
        <f t="shared" si="16"/>
        <v>0</v>
      </c>
      <c r="AB120" s="118"/>
      <c r="AC120" s="24"/>
      <c r="AD120" s="118">
        <f t="shared" si="17"/>
        <v>600000</v>
      </c>
    </row>
    <row r="121" spans="1:30" ht="78">
      <c r="A121" s="173"/>
      <c r="B121" s="174"/>
      <c r="C121" s="173"/>
      <c r="D121" s="172"/>
      <c r="E121" s="26" t="s">
        <v>675</v>
      </c>
      <c r="F121" s="97">
        <v>2065</v>
      </c>
      <c r="G121" s="20"/>
      <c r="H121" s="24"/>
      <c r="I121" s="33"/>
      <c r="J121" s="58">
        <v>3240</v>
      </c>
      <c r="K121" s="20">
        <v>600000</v>
      </c>
      <c r="L121" s="5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>
        <v>600000</v>
      </c>
      <c r="Y121" s="118">
        <f t="shared" si="21"/>
        <v>0</v>
      </c>
      <c r="Z121" s="24"/>
      <c r="AA121" s="118">
        <f t="shared" si="16"/>
        <v>0</v>
      </c>
      <c r="AB121" s="118"/>
      <c r="AC121" s="24"/>
      <c r="AD121" s="118">
        <f t="shared" si="17"/>
        <v>600000</v>
      </c>
    </row>
    <row r="122" spans="1:30" ht="20.25">
      <c r="A122" s="168" t="s">
        <v>64</v>
      </c>
      <c r="B122" s="168" t="s">
        <v>65</v>
      </c>
      <c r="C122" s="168" t="s">
        <v>66</v>
      </c>
      <c r="D122" s="165" t="s">
        <v>67</v>
      </c>
      <c r="E122" s="40"/>
      <c r="F122" s="98"/>
      <c r="G122" s="20"/>
      <c r="H122" s="24"/>
      <c r="I122" s="33"/>
      <c r="J122" s="58"/>
      <c r="K122" s="23">
        <f>SUM(K123:K270)</f>
        <v>73694067.78000002</v>
      </c>
      <c r="L122" s="23">
        <f aca="true" t="shared" si="24" ref="L122:Z122">SUM(L123:L270)</f>
        <v>13100</v>
      </c>
      <c r="M122" s="23">
        <f t="shared" si="24"/>
        <v>0</v>
      </c>
      <c r="N122" s="23">
        <f t="shared" si="24"/>
        <v>862620.66</v>
      </c>
      <c r="O122" s="23">
        <f t="shared" si="24"/>
        <v>14156398.2</v>
      </c>
      <c r="P122" s="23">
        <f t="shared" si="24"/>
        <v>3732334.3999999994</v>
      </c>
      <c r="Q122" s="23">
        <f t="shared" si="24"/>
        <v>3444745.9000000004</v>
      </c>
      <c r="R122" s="23">
        <f t="shared" si="24"/>
        <v>585432.1799999999</v>
      </c>
      <c r="S122" s="23">
        <f t="shared" si="24"/>
        <v>4570377.140000001</v>
      </c>
      <c r="T122" s="23">
        <f t="shared" si="24"/>
        <v>8341381</v>
      </c>
      <c r="U122" s="23">
        <f t="shared" si="24"/>
        <v>4778309.97</v>
      </c>
      <c r="V122" s="23">
        <f t="shared" si="24"/>
        <v>12590011.19</v>
      </c>
      <c r="W122" s="23">
        <f t="shared" si="24"/>
        <v>13545540.489999998</v>
      </c>
      <c r="X122" s="23">
        <f t="shared" si="24"/>
        <v>7086916.65</v>
      </c>
      <c r="Y122" s="118">
        <f t="shared" si="21"/>
        <v>2.421438694000244E-08</v>
      </c>
      <c r="Z122" s="23">
        <f t="shared" si="24"/>
        <v>24604521.719999995</v>
      </c>
      <c r="AA122" s="118">
        <f t="shared" si="16"/>
        <v>2747386.7600000016</v>
      </c>
      <c r="AB122" s="118"/>
      <c r="AC122" s="24"/>
      <c r="AD122" s="118">
        <f t="shared" si="17"/>
        <v>49089546.06000002</v>
      </c>
    </row>
    <row r="123" spans="1:30" ht="21">
      <c r="A123" s="169"/>
      <c r="B123" s="169"/>
      <c r="C123" s="169"/>
      <c r="D123" s="166"/>
      <c r="E123" s="19" t="s">
        <v>466</v>
      </c>
      <c r="F123" s="96">
        <v>2066</v>
      </c>
      <c r="G123" s="58">
        <v>2020</v>
      </c>
      <c r="H123" s="20">
        <v>200000</v>
      </c>
      <c r="I123" s="58">
        <v>0</v>
      </c>
      <c r="J123" s="58">
        <v>3132</v>
      </c>
      <c r="K123" s="20">
        <v>200000</v>
      </c>
      <c r="L123" s="58">
        <v>100</v>
      </c>
      <c r="M123" s="20"/>
      <c r="N123" s="20"/>
      <c r="O123" s="20"/>
      <c r="P123" s="20"/>
      <c r="Q123" s="20"/>
      <c r="R123" s="20"/>
      <c r="S123" s="20"/>
      <c r="T123" s="20">
        <v>100000</v>
      </c>
      <c r="U123" s="20"/>
      <c r="V123" s="20">
        <v>100000</v>
      </c>
      <c r="W123" s="20"/>
      <c r="X123" s="20"/>
      <c r="Y123" s="118">
        <f t="shared" si="21"/>
        <v>0</v>
      </c>
      <c r="Z123" s="24"/>
      <c r="AA123" s="118">
        <f t="shared" si="16"/>
        <v>0</v>
      </c>
      <c r="AB123" s="118"/>
      <c r="AC123" s="24"/>
      <c r="AD123" s="118">
        <f t="shared" si="17"/>
        <v>200000</v>
      </c>
    </row>
    <row r="124" spans="1:30" ht="30.75">
      <c r="A124" s="169"/>
      <c r="B124" s="169"/>
      <c r="C124" s="169"/>
      <c r="D124" s="166"/>
      <c r="E124" s="19" t="s">
        <v>467</v>
      </c>
      <c r="F124" s="96">
        <v>2067</v>
      </c>
      <c r="G124" s="58">
        <v>2020</v>
      </c>
      <c r="H124" s="20">
        <v>70000</v>
      </c>
      <c r="I124" s="58">
        <v>0</v>
      </c>
      <c r="J124" s="58">
        <v>3132</v>
      </c>
      <c r="K124" s="20">
        <v>70000</v>
      </c>
      <c r="L124" s="58">
        <v>100</v>
      </c>
      <c r="M124" s="20"/>
      <c r="N124" s="20"/>
      <c r="O124" s="20"/>
      <c r="P124" s="20"/>
      <c r="Q124" s="20"/>
      <c r="R124" s="20"/>
      <c r="S124" s="20"/>
      <c r="T124" s="20"/>
      <c r="U124" s="20">
        <v>70000</v>
      </c>
      <c r="V124" s="20"/>
      <c r="W124" s="20"/>
      <c r="X124" s="20"/>
      <c r="Y124" s="118">
        <f t="shared" si="21"/>
        <v>0</v>
      </c>
      <c r="Z124" s="24"/>
      <c r="AA124" s="118">
        <f t="shared" si="16"/>
        <v>0</v>
      </c>
      <c r="AB124" s="118"/>
      <c r="AC124" s="24"/>
      <c r="AD124" s="118">
        <f t="shared" si="17"/>
        <v>70000</v>
      </c>
    </row>
    <row r="125" spans="1:30" ht="21">
      <c r="A125" s="169"/>
      <c r="B125" s="169"/>
      <c r="C125" s="169"/>
      <c r="D125" s="166"/>
      <c r="E125" s="26" t="s">
        <v>518</v>
      </c>
      <c r="F125" s="96">
        <v>2068</v>
      </c>
      <c r="G125" s="58">
        <v>2020</v>
      </c>
      <c r="H125" s="20">
        <v>793612.3</v>
      </c>
      <c r="I125" s="58">
        <v>0</v>
      </c>
      <c r="J125" s="58">
        <v>3132</v>
      </c>
      <c r="K125" s="20">
        <v>793612.3</v>
      </c>
      <c r="L125" s="58">
        <v>100</v>
      </c>
      <c r="M125" s="20"/>
      <c r="N125" s="20"/>
      <c r="O125" s="20">
        <f>560650.8</f>
        <v>560650.8</v>
      </c>
      <c r="P125" s="20"/>
      <c r="Q125" s="20">
        <f>200000-200000</f>
        <v>0</v>
      </c>
      <c r="R125" s="20"/>
      <c r="S125" s="20"/>
      <c r="T125" s="20"/>
      <c r="U125" s="20">
        <f>393612.3-360650.8</f>
        <v>32961.5</v>
      </c>
      <c r="V125" s="20"/>
      <c r="W125" s="20">
        <v>200000</v>
      </c>
      <c r="X125" s="20"/>
      <c r="Y125" s="118">
        <f t="shared" si="21"/>
        <v>0</v>
      </c>
      <c r="Z125" s="24">
        <f>560650.8</f>
        <v>560650.8</v>
      </c>
      <c r="AA125" s="118">
        <f t="shared" si="16"/>
        <v>0</v>
      </c>
      <c r="AB125" s="118"/>
      <c r="AC125" s="24"/>
      <c r="AD125" s="118">
        <f t="shared" si="17"/>
        <v>232961.5</v>
      </c>
    </row>
    <row r="126" spans="1:30" ht="62.25">
      <c r="A126" s="169"/>
      <c r="B126" s="169"/>
      <c r="C126" s="169"/>
      <c r="D126" s="166"/>
      <c r="E126" s="26" t="s">
        <v>519</v>
      </c>
      <c r="F126" s="96">
        <v>2069</v>
      </c>
      <c r="G126" s="58" t="s">
        <v>201</v>
      </c>
      <c r="H126" s="20">
        <v>1000000</v>
      </c>
      <c r="I126" s="58">
        <v>70</v>
      </c>
      <c r="J126" s="58">
        <v>3132</v>
      </c>
      <c r="K126" s="20">
        <f>298529.4+306470.6</f>
        <v>605000</v>
      </c>
      <c r="L126" s="58">
        <v>100</v>
      </c>
      <c r="M126" s="20"/>
      <c r="N126" s="20"/>
      <c r="O126" s="20"/>
      <c r="P126" s="20"/>
      <c r="Q126" s="20"/>
      <c r="R126" s="20"/>
      <c r="S126" s="20">
        <f>333000</f>
        <v>333000</v>
      </c>
      <c r="T126" s="20"/>
      <c r="U126" s="20"/>
      <c r="V126" s="20">
        <f>100748.76+306470.6-333000</f>
        <v>74219.35999999999</v>
      </c>
      <c r="W126" s="20"/>
      <c r="X126" s="20">
        <v>197780.64</v>
      </c>
      <c r="Y126" s="118">
        <f t="shared" si="21"/>
        <v>0</v>
      </c>
      <c r="Z126" s="24">
        <f>297155.97+35292.62</f>
        <v>332448.58999999997</v>
      </c>
      <c r="AA126" s="118">
        <f t="shared" si="16"/>
        <v>551.4100000000326</v>
      </c>
      <c r="AB126" s="118"/>
      <c r="AC126" s="24"/>
      <c r="AD126" s="118">
        <f t="shared" si="17"/>
        <v>272551.41000000003</v>
      </c>
    </row>
    <row r="127" spans="1:30" ht="21" hidden="1">
      <c r="A127" s="169"/>
      <c r="B127" s="169"/>
      <c r="C127" s="169"/>
      <c r="D127" s="166"/>
      <c r="E127" s="19" t="s">
        <v>489</v>
      </c>
      <c r="F127" s="96">
        <v>2070</v>
      </c>
      <c r="G127" s="58">
        <v>2020</v>
      </c>
      <c r="H127" s="20">
        <v>300000</v>
      </c>
      <c r="I127" s="58">
        <v>0</v>
      </c>
      <c r="J127" s="58">
        <v>3132</v>
      </c>
      <c r="K127" s="20">
        <f>300000-300000</f>
        <v>0</v>
      </c>
      <c r="L127" s="58">
        <v>100</v>
      </c>
      <c r="M127" s="20"/>
      <c r="N127" s="20"/>
      <c r="O127" s="20"/>
      <c r="P127" s="20"/>
      <c r="Q127" s="20"/>
      <c r="R127" s="20">
        <f>25309-25309</f>
        <v>0</v>
      </c>
      <c r="S127" s="20"/>
      <c r="T127" s="20"/>
      <c r="U127" s="20">
        <f>150000-150000</f>
        <v>0</v>
      </c>
      <c r="V127" s="20">
        <f>124691-124691</f>
        <v>0</v>
      </c>
      <c r="W127" s="20"/>
      <c r="X127" s="20"/>
      <c r="Y127" s="118">
        <f t="shared" si="21"/>
        <v>0</v>
      </c>
      <c r="Z127" s="24"/>
      <c r="AA127" s="118">
        <f t="shared" si="16"/>
        <v>0</v>
      </c>
      <c r="AB127" s="118"/>
      <c r="AC127" s="24"/>
      <c r="AD127" s="118">
        <f t="shared" si="17"/>
        <v>0</v>
      </c>
    </row>
    <row r="128" spans="1:30" ht="21" hidden="1">
      <c r="A128" s="169"/>
      <c r="B128" s="169"/>
      <c r="C128" s="169"/>
      <c r="D128" s="166"/>
      <c r="E128" s="19" t="s">
        <v>490</v>
      </c>
      <c r="F128" s="96">
        <v>2071</v>
      </c>
      <c r="G128" s="58">
        <v>2020</v>
      </c>
      <c r="H128" s="20">
        <v>600000</v>
      </c>
      <c r="I128" s="58">
        <v>0</v>
      </c>
      <c r="J128" s="58">
        <v>3132</v>
      </c>
      <c r="K128" s="20">
        <f>600000-600000</f>
        <v>0</v>
      </c>
      <c r="L128" s="58">
        <v>100</v>
      </c>
      <c r="M128" s="20"/>
      <c r="N128" s="20"/>
      <c r="O128" s="20"/>
      <c r="P128" s="20"/>
      <c r="Q128" s="20"/>
      <c r="R128" s="20"/>
      <c r="S128" s="20">
        <f>341276-341276</f>
        <v>0</v>
      </c>
      <c r="T128" s="20"/>
      <c r="U128" s="20"/>
      <c r="V128" s="20">
        <f>258724-258724</f>
        <v>0</v>
      </c>
      <c r="W128" s="20"/>
      <c r="X128" s="20"/>
      <c r="Y128" s="118">
        <f t="shared" si="21"/>
        <v>0</v>
      </c>
      <c r="Z128" s="24"/>
      <c r="AA128" s="118">
        <f t="shared" si="16"/>
        <v>0</v>
      </c>
      <c r="AB128" s="118"/>
      <c r="AC128" s="24"/>
      <c r="AD128" s="118">
        <f t="shared" si="17"/>
        <v>0</v>
      </c>
    </row>
    <row r="129" spans="1:30" ht="21" hidden="1">
      <c r="A129" s="169"/>
      <c r="B129" s="169"/>
      <c r="C129" s="169"/>
      <c r="D129" s="166"/>
      <c r="E129" s="19" t="s">
        <v>880</v>
      </c>
      <c r="F129" s="96">
        <v>2608</v>
      </c>
      <c r="G129" s="58"/>
      <c r="H129" s="20"/>
      <c r="I129" s="58"/>
      <c r="J129" s="58">
        <v>3132</v>
      </c>
      <c r="K129" s="20">
        <f>600000-600000</f>
        <v>0</v>
      </c>
      <c r="L129" s="58"/>
      <c r="M129" s="20"/>
      <c r="N129" s="20"/>
      <c r="O129" s="20"/>
      <c r="P129" s="20"/>
      <c r="Q129" s="20"/>
      <c r="R129" s="20"/>
      <c r="S129" s="20">
        <f>341276-341276</f>
        <v>0</v>
      </c>
      <c r="T129" s="20"/>
      <c r="U129" s="20"/>
      <c r="V129" s="20">
        <f>258724-258724</f>
        <v>0</v>
      </c>
      <c r="W129" s="20"/>
      <c r="X129" s="20"/>
      <c r="Y129" s="118">
        <f t="shared" si="21"/>
        <v>0</v>
      </c>
      <c r="Z129" s="24"/>
      <c r="AA129" s="118">
        <f t="shared" si="16"/>
        <v>0</v>
      </c>
      <c r="AB129" s="118"/>
      <c r="AC129" s="24"/>
      <c r="AD129" s="118">
        <f t="shared" si="17"/>
        <v>0</v>
      </c>
    </row>
    <row r="130" spans="1:30" ht="21">
      <c r="A130" s="169"/>
      <c r="B130" s="169"/>
      <c r="C130" s="169"/>
      <c r="D130" s="166"/>
      <c r="E130" s="19" t="s">
        <v>551</v>
      </c>
      <c r="F130" s="96">
        <v>2072</v>
      </c>
      <c r="G130" s="58" t="s">
        <v>201</v>
      </c>
      <c r="H130" s="20">
        <v>3128890</v>
      </c>
      <c r="I130" s="58">
        <v>59</v>
      </c>
      <c r="J130" s="58">
        <v>3132</v>
      </c>
      <c r="K130" s="20">
        <v>1273381</v>
      </c>
      <c r="L130" s="58">
        <v>100</v>
      </c>
      <c r="M130" s="20"/>
      <c r="N130" s="20"/>
      <c r="O130" s="20">
        <f>50030+778000-467000</f>
        <v>361030</v>
      </c>
      <c r="P130" s="20">
        <f>467000</f>
        <v>467000</v>
      </c>
      <c r="Q130" s="20"/>
      <c r="R130" s="20"/>
      <c r="S130" s="20">
        <f>823351-778000-100000</f>
        <v>-54649</v>
      </c>
      <c r="T130" s="20"/>
      <c r="U130" s="20"/>
      <c r="V130" s="20">
        <v>400000</v>
      </c>
      <c r="W130" s="20">
        <f>100000</f>
        <v>100000</v>
      </c>
      <c r="X130" s="20"/>
      <c r="Y130" s="118">
        <f t="shared" si="21"/>
        <v>0</v>
      </c>
      <c r="Z130" s="24">
        <f>360522+330181+39261</f>
        <v>729964</v>
      </c>
      <c r="AA130" s="118">
        <f t="shared" si="16"/>
        <v>43417</v>
      </c>
      <c r="AB130" s="118"/>
      <c r="AC130" s="24"/>
      <c r="AD130" s="118">
        <f t="shared" si="17"/>
        <v>543417</v>
      </c>
    </row>
    <row r="131" spans="1:30" ht="21" hidden="1">
      <c r="A131" s="169"/>
      <c r="B131" s="169"/>
      <c r="C131" s="169"/>
      <c r="D131" s="166"/>
      <c r="E131" s="19" t="s">
        <v>491</v>
      </c>
      <c r="F131" s="96">
        <v>2073</v>
      </c>
      <c r="G131" s="58">
        <v>2020</v>
      </c>
      <c r="H131" s="20">
        <v>450000</v>
      </c>
      <c r="I131" s="58">
        <v>0</v>
      </c>
      <c r="J131" s="58">
        <v>3132</v>
      </c>
      <c r="K131" s="20">
        <f>450000-450000</f>
        <v>0</v>
      </c>
      <c r="L131" s="58">
        <v>100</v>
      </c>
      <c r="M131" s="20"/>
      <c r="N131" s="20"/>
      <c r="O131" s="20"/>
      <c r="P131" s="20"/>
      <c r="Q131" s="20"/>
      <c r="R131" s="20"/>
      <c r="S131" s="20"/>
      <c r="T131" s="20">
        <f>250000-250000</f>
        <v>0</v>
      </c>
      <c r="U131" s="20"/>
      <c r="V131" s="20">
        <f>200000-200000</f>
        <v>0</v>
      </c>
      <c r="W131" s="20"/>
      <c r="X131" s="20"/>
      <c r="Y131" s="118">
        <f t="shared" si="21"/>
        <v>0</v>
      </c>
      <c r="Z131" s="24"/>
      <c r="AA131" s="118">
        <f t="shared" si="16"/>
        <v>0</v>
      </c>
      <c r="AB131" s="118"/>
      <c r="AC131" s="24"/>
      <c r="AD131" s="118">
        <f t="shared" si="17"/>
        <v>0</v>
      </c>
    </row>
    <row r="132" spans="1:30" ht="21" hidden="1">
      <c r="A132" s="169"/>
      <c r="B132" s="169"/>
      <c r="C132" s="169"/>
      <c r="D132" s="166"/>
      <c r="E132" s="19" t="s">
        <v>492</v>
      </c>
      <c r="F132" s="96">
        <v>2074</v>
      </c>
      <c r="G132" s="58">
        <v>2020</v>
      </c>
      <c r="H132" s="20">
        <v>250000</v>
      </c>
      <c r="I132" s="58">
        <v>0</v>
      </c>
      <c r="J132" s="58">
        <v>3132</v>
      </c>
      <c r="K132" s="20">
        <f>250000-250000</f>
        <v>0</v>
      </c>
      <c r="L132" s="58">
        <v>100</v>
      </c>
      <c r="M132" s="20"/>
      <c r="N132" s="20"/>
      <c r="O132" s="20"/>
      <c r="P132" s="20"/>
      <c r="Q132" s="20"/>
      <c r="R132" s="20"/>
      <c r="S132" s="20"/>
      <c r="T132" s="20">
        <f>125000-125000</f>
        <v>0</v>
      </c>
      <c r="U132" s="20"/>
      <c r="V132" s="20">
        <f>125000-125000</f>
        <v>0</v>
      </c>
      <c r="W132" s="20"/>
      <c r="X132" s="20"/>
      <c r="Y132" s="118">
        <f t="shared" si="21"/>
        <v>0</v>
      </c>
      <c r="Z132" s="24"/>
      <c r="AA132" s="118">
        <f t="shared" si="16"/>
        <v>0</v>
      </c>
      <c r="AB132" s="118"/>
      <c r="AC132" s="24"/>
      <c r="AD132" s="118">
        <f t="shared" si="17"/>
        <v>0</v>
      </c>
    </row>
    <row r="133" spans="1:30" ht="21">
      <c r="A133" s="169"/>
      <c r="B133" s="169"/>
      <c r="C133" s="169"/>
      <c r="D133" s="166"/>
      <c r="E133" s="26" t="s">
        <v>522</v>
      </c>
      <c r="F133" s="96">
        <v>2075</v>
      </c>
      <c r="G133" s="58">
        <v>2020</v>
      </c>
      <c r="H133" s="20">
        <v>678702.96</v>
      </c>
      <c r="I133" s="58">
        <v>0</v>
      </c>
      <c r="J133" s="58">
        <v>3132</v>
      </c>
      <c r="K133" s="20">
        <v>678702.96</v>
      </c>
      <c r="L133" s="58">
        <v>100</v>
      </c>
      <c r="M133" s="20"/>
      <c r="N133" s="20"/>
      <c r="O133" s="20">
        <f>350000</f>
        <v>350000</v>
      </c>
      <c r="P133" s="20"/>
      <c r="Q133" s="20">
        <v>139000</v>
      </c>
      <c r="R133" s="20"/>
      <c r="S133" s="20"/>
      <c r="T133" s="20"/>
      <c r="U133" s="20">
        <f>338702.96-10000-139000</f>
        <v>189702.96000000002</v>
      </c>
      <c r="V133" s="20"/>
      <c r="W133" s="20">
        <f>340000-340000</f>
        <v>0</v>
      </c>
      <c r="X133" s="20"/>
      <c r="Y133" s="118">
        <f t="shared" si="21"/>
        <v>-5.820766091346741E-11</v>
      </c>
      <c r="Z133" s="24">
        <f>488811</f>
        <v>488811</v>
      </c>
      <c r="AA133" s="118">
        <f t="shared" si="16"/>
        <v>189</v>
      </c>
      <c r="AB133" s="118"/>
      <c r="AC133" s="24"/>
      <c r="AD133" s="118">
        <f t="shared" si="17"/>
        <v>189891.95999999996</v>
      </c>
    </row>
    <row r="134" spans="1:30" ht="21">
      <c r="A134" s="169"/>
      <c r="B134" s="169"/>
      <c r="C134" s="169"/>
      <c r="D134" s="166"/>
      <c r="E134" s="26" t="s">
        <v>513</v>
      </c>
      <c r="F134" s="96">
        <v>2076</v>
      </c>
      <c r="G134" s="58" t="s">
        <v>201</v>
      </c>
      <c r="H134" s="20">
        <v>3345000</v>
      </c>
      <c r="I134" s="58">
        <v>16</v>
      </c>
      <c r="J134" s="58">
        <v>3132</v>
      </c>
      <c r="K134" s="20">
        <f>2839220-100000</f>
        <v>2739220</v>
      </c>
      <c r="L134" s="58">
        <v>100</v>
      </c>
      <c r="M134" s="20"/>
      <c r="N134" s="20"/>
      <c r="O134" s="20">
        <f>860000-431000</f>
        <v>429000</v>
      </c>
      <c r="P134" s="20">
        <f>431000</f>
        <v>431000</v>
      </c>
      <c r="Q134" s="20">
        <f>845000-100000-240017.2-500000-21000</f>
        <v>-16017.200000000012</v>
      </c>
      <c r="R134" s="20"/>
      <c r="S134" s="20"/>
      <c r="T134" s="20"/>
      <c r="U134" s="20">
        <f>300000+21000</f>
        <v>321000</v>
      </c>
      <c r="V134" s="20">
        <f>1000000-860000+40017.2</f>
        <v>180017.2</v>
      </c>
      <c r="W134" s="20">
        <f>694220+200000</f>
        <v>894220</v>
      </c>
      <c r="X134" s="20">
        <f>500000</f>
        <v>500000</v>
      </c>
      <c r="Y134" s="118">
        <f t="shared" si="21"/>
        <v>0</v>
      </c>
      <c r="Z134" s="24">
        <f>843749.6</f>
        <v>843749.6</v>
      </c>
      <c r="AA134" s="118">
        <f t="shared" si="16"/>
        <v>233.20000000006985</v>
      </c>
      <c r="AB134" s="118"/>
      <c r="AC134" s="24"/>
      <c r="AD134" s="118">
        <f t="shared" si="17"/>
        <v>1895470.4</v>
      </c>
    </row>
    <row r="135" spans="1:30" ht="21">
      <c r="A135" s="169"/>
      <c r="B135" s="169"/>
      <c r="C135" s="169"/>
      <c r="D135" s="166"/>
      <c r="E135" s="26" t="s">
        <v>514</v>
      </c>
      <c r="F135" s="96">
        <v>2077</v>
      </c>
      <c r="G135" s="58" t="s">
        <v>201</v>
      </c>
      <c r="H135" s="20">
        <v>250000</v>
      </c>
      <c r="I135" s="58">
        <v>98</v>
      </c>
      <c r="J135" s="58">
        <v>3132</v>
      </c>
      <c r="K135" s="20">
        <v>3814</v>
      </c>
      <c r="L135" s="58">
        <v>100</v>
      </c>
      <c r="M135" s="20"/>
      <c r="N135" s="20">
        <v>3814</v>
      </c>
      <c r="O135" s="20"/>
      <c r="P135" s="20"/>
      <c r="Q135" s="20">
        <v>-3000</v>
      </c>
      <c r="R135" s="20"/>
      <c r="S135" s="20"/>
      <c r="T135" s="20">
        <v>3000</v>
      </c>
      <c r="U135" s="20"/>
      <c r="V135" s="20"/>
      <c r="W135" s="20"/>
      <c r="X135" s="20"/>
      <c r="Y135" s="118">
        <f t="shared" si="21"/>
        <v>0</v>
      </c>
      <c r="Z135" s="24"/>
      <c r="AA135" s="118">
        <f t="shared" si="16"/>
        <v>814</v>
      </c>
      <c r="AB135" s="118"/>
      <c r="AC135" s="24"/>
      <c r="AD135" s="118">
        <f t="shared" si="17"/>
        <v>3814</v>
      </c>
    </row>
    <row r="136" spans="1:30" ht="30.75">
      <c r="A136" s="169"/>
      <c r="B136" s="169"/>
      <c r="C136" s="169"/>
      <c r="D136" s="166"/>
      <c r="E136" s="19" t="s">
        <v>498</v>
      </c>
      <c r="F136" s="96">
        <v>2078</v>
      </c>
      <c r="G136" s="58" t="s">
        <v>201</v>
      </c>
      <c r="H136" s="20">
        <v>1300000</v>
      </c>
      <c r="I136" s="58">
        <v>70</v>
      </c>
      <c r="J136" s="58">
        <v>3132</v>
      </c>
      <c r="K136" s="20">
        <v>394171</v>
      </c>
      <c r="L136" s="58">
        <v>100</v>
      </c>
      <c r="M136" s="20"/>
      <c r="N136" s="20"/>
      <c r="O136" s="20">
        <f>394171</f>
        <v>394171</v>
      </c>
      <c r="P136" s="20"/>
      <c r="Q136" s="20"/>
      <c r="R136" s="20">
        <f>5566-5566</f>
        <v>0</v>
      </c>
      <c r="S136" s="20">
        <f>355476-355476</f>
        <v>0</v>
      </c>
      <c r="T136" s="20"/>
      <c r="U136" s="20"/>
      <c r="V136" s="20">
        <f>5563-5563</f>
        <v>0</v>
      </c>
      <c r="W136" s="20"/>
      <c r="X136" s="20">
        <f>27566-27566</f>
        <v>0</v>
      </c>
      <c r="Y136" s="118">
        <f t="shared" si="21"/>
        <v>0</v>
      </c>
      <c r="Z136" s="24">
        <f>394171</f>
        <v>394171</v>
      </c>
      <c r="AA136" s="118">
        <f t="shared" si="16"/>
        <v>0</v>
      </c>
      <c r="AB136" s="118"/>
      <c r="AC136" s="24"/>
      <c r="AD136" s="118">
        <f t="shared" si="17"/>
        <v>0</v>
      </c>
    </row>
    <row r="137" spans="1:30" ht="21" hidden="1">
      <c r="A137" s="169"/>
      <c r="B137" s="169"/>
      <c r="C137" s="169"/>
      <c r="D137" s="166"/>
      <c r="E137" s="19" t="s">
        <v>487</v>
      </c>
      <c r="F137" s="96">
        <v>2079</v>
      </c>
      <c r="G137" s="58">
        <v>2020</v>
      </c>
      <c r="H137" s="20">
        <v>1000000</v>
      </c>
      <c r="I137" s="58">
        <v>0</v>
      </c>
      <c r="J137" s="58">
        <v>3132</v>
      </c>
      <c r="K137" s="20">
        <f>1000000-1000000</f>
        <v>0</v>
      </c>
      <c r="L137" s="58">
        <v>100</v>
      </c>
      <c r="M137" s="20"/>
      <c r="N137" s="20"/>
      <c r="O137" s="20"/>
      <c r="P137" s="20"/>
      <c r="Q137" s="20"/>
      <c r="R137" s="20"/>
      <c r="S137" s="20"/>
      <c r="T137" s="20">
        <f>400000-400000</f>
        <v>0</v>
      </c>
      <c r="U137" s="20"/>
      <c r="V137" s="20">
        <f>350000-350000</f>
        <v>0</v>
      </c>
      <c r="W137" s="20">
        <f>250000-250000</f>
        <v>0</v>
      </c>
      <c r="X137" s="20"/>
      <c r="Y137" s="118">
        <f t="shared" si="21"/>
        <v>0</v>
      </c>
      <c r="Z137" s="24"/>
      <c r="AA137" s="118">
        <f t="shared" si="16"/>
        <v>0</v>
      </c>
      <c r="AB137" s="118"/>
      <c r="AC137" s="24"/>
      <c r="AD137" s="118">
        <f t="shared" si="17"/>
        <v>0</v>
      </c>
    </row>
    <row r="138" spans="1:30" ht="21">
      <c r="A138" s="169"/>
      <c r="B138" s="169"/>
      <c r="C138" s="169"/>
      <c r="D138" s="166"/>
      <c r="E138" s="19" t="s">
        <v>810</v>
      </c>
      <c r="F138" s="96">
        <v>2574</v>
      </c>
      <c r="G138" s="58"/>
      <c r="H138" s="20"/>
      <c r="I138" s="58"/>
      <c r="J138" s="58">
        <v>3132</v>
      </c>
      <c r="K138" s="20">
        <f>580000-500000</f>
        <v>80000</v>
      </c>
      <c r="L138" s="58"/>
      <c r="M138" s="20"/>
      <c r="N138" s="20"/>
      <c r="O138" s="20"/>
      <c r="P138" s="20"/>
      <c r="Q138" s="20"/>
      <c r="R138" s="20"/>
      <c r="S138" s="20"/>
      <c r="T138" s="20">
        <f>400000-320000</f>
        <v>80000</v>
      </c>
      <c r="U138" s="20"/>
      <c r="V138" s="20">
        <f>180000-180000</f>
        <v>0</v>
      </c>
      <c r="W138" s="20"/>
      <c r="X138" s="20"/>
      <c r="Y138" s="118">
        <f t="shared" si="21"/>
        <v>0</v>
      </c>
      <c r="Z138" s="24"/>
      <c r="AA138" s="118">
        <f t="shared" si="16"/>
        <v>0</v>
      </c>
      <c r="AB138" s="118"/>
      <c r="AC138" s="24"/>
      <c r="AD138" s="118">
        <f t="shared" si="17"/>
        <v>80000</v>
      </c>
    </row>
    <row r="139" spans="1:30" ht="21">
      <c r="A139" s="169"/>
      <c r="B139" s="169"/>
      <c r="C139" s="169"/>
      <c r="D139" s="166"/>
      <c r="E139" s="19" t="s">
        <v>507</v>
      </c>
      <c r="F139" s="96">
        <v>2080</v>
      </c>
      <c r="G139" s="58" t="s">
        <v>201</v>
      </c>
      <c r="H139" s="20">
        <v>500000</v>
      </c>
      <c r="I139" s="58">
        <v>99</v>
      </c>
      <c r="J139" s="58">
        <v>3132</v>
      </c>
      <c r="K139" s="20">
        <v>5570</v>
      </c>
      <c r="L139" s="58">
        <v>100</v>
      </c>
      <c r="M139" s="20"/>
      <c r="N139" s="20">
        <v>5570</v>
      </c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118">
        <f t="shared" si="21"/>
        <v>0</v>
      </c>
      <c r="Z139" s="24"/>
      <c r="AA139" s="118">
        <f t="shared" si="16"/>
        <v>5570</v>
      </c>
      <c r="AB139" s="118"/>
      <c r="AC139" s="24"/>
      <c r="AD139" s="118">
        <f t="shared" si="17"/>
        <v>5570</v>
      </c>
    </row>
    <row r="140" spans="1:30" ht="21">
      <c r="A140" s="169"/>
      <c r="B140" s="169"/>
      <c r="C140" s="169"/>
      <c r="D140" s="166"/>
      <c r="E140" s="19" t="s">
        <v>508</v>
      </c>
      <c r="F140" s="96">
        <v>2081</v>
      </c>
      <c r="G140" s="58">
        <v>2020</v>
      </c>
      <c r="H140" s="20">
        <v>300000</v>
      </c>
      <c r="I140" s="58">
        <v>0</v>
      </c>
      <c r="J140" s="58">
        <v>3132</v>
      </c>
      <c r="K140" s="20">
        <v>300000</v>
      </c>
      <c r="L140" s="58">
        <v>100</v>
      </c>
      <c r="M140" s="20"/>
      <c r="N140" s="20">
        <v>150000</v>
      </c>
      <c r="O140" s="20"/>
      <c r="P140" s="20"/>
      <c r="Q140" s="20">
        <f>150000</f>
        <v>150000</v>
      </c>
      <c r="R140" s="20"/>
      <c r="S140" s="20"/>
      <c r="T140" s="20"/>
      <c r="U140" s="20"/>
      <c r="V140" s="20"/>
      <c r="W140" s="20">
        <f>150000-150000</f>
        <v>0</v>
      </c>
      <c r="X140" s="20"/>
      <c r="Y140" s="118">
        <f t="shared" si="21"/>
        <v>0</v>
      </c>
      <c r="Z140" s="24">
        <f>147867.5</f>
        <v>147867.5</v>
      </c>
      <c r="AA140" s="118">
        <f t="shared" si="16"/>
        <v>152132.5</v>
      </c>
      <c r="AB140" s="118"/>
      <c r="AC140" s="24"/>
      <c r="AD140" s="118">
        <f t="shared" si="17"/>
        <v>152132.5</v>
      </c>
    </row>
    <row r="141" spans="1:30" ht="30.75">
      <c r="A141" s="169"/>
      <c r="B141" s="169"/>
      <c r="C141" s="169"/>
      <c r="D141" s="166"/>
      <c r="E141" s="19" t="s">
        <v>509</v>
      </c>
      <c r="F141" s="96">
        <v>2082</v>
      </c>
      <c r="G141" s="58" t="s">
        <v>201</v>
      </c>
      <c r="H141" s="20">
        <v>460000</v>
      </c>
      <c r="I141" s="58">
        <v>98</v>
      </c>
      <c r="J141" s="58">
        <v>3132</v>
      </c>
      <c r="K141" s="20">
        <v>21610</v>
      </c>
      <c r="L141" s="58">
        <v>100</v>
      </c>
      <c r="M141" s="20"/>
      <c r="N141" s="20">
        <v>21610</v>
      </c>
      <c r="O141" s="20"/>
      <c r="P141" s="20"/>
      <c r="Q141" s="20"/>
      <c r="R141" s="20"/>
      <c r="S141" s="20">
        <f>-21000</f>
        <v>-21000</v>
      </c>
      <c r="T141" s="20"/>
      <c r="U141" s="20">
        <f>21000</f>
        <v>21000</v>
      </c>
      <c r="V141" s="20"/>
      <c r="W141" s="20"/>
      <c r="X141" s="20"/>
      <c r="Y141" s="118">
        <f t="shared" si="21"/>
        <v>0</v>
      </c>
      <c r="Z141" s="24"/>
      <c r="AA141" s="118">
        <f t="shared" si="16"/>
        <v>610</v>
      </c>
      <c r="AB141" s="118"/>
      <c r="AC141" s="24"/>
      <c r="AD141" s="118">
        <f t="shared" si="17"/>
        <v>21610</v>
      </c>
    </row>
    <row r="142" spans="1:30" ht="21" hidden="1">
      <c r="A142" s="169"/>
      <c r="B142" s="169"/>
      <c r="C142" s="169"/>
      <c r="D142" s="166"/>
      <c r="E142" s="19" t="s">
        <v>481</v>
      </c>
      <c r="F142" s="96">
        <v>2083</v>
      </c>
      <c r="G142" s="58">
        <v>2020</v>
      </c>
      <c r="H142" s="20">
        <v>1200000</v>
      </c>
      <c r="I142" s="58">
        <v>0</v>
      </c>
      <c r="J142" s="58">
        <v>3132</v>
      </c>
      <c r="K142" s="20">
        <f>1200000-1200000</f>
        <v>0</v>
      </c>
      <c r="L142" s="58">
        <v>100</v>
      </c>
      <c r="M142" s="20"/>
      <c r="N142" s="20"/>
      <c r="O142" s="20"/>
      <c r="P142" s="20"/>
      <c r="Q142" s="20"/>
      <c r="R142" s="20"/>
      <c r="S142" s="20">
        <f>600000-600000</f>
        <v>0</v>
      </c>
      <c r="T142" s="20"/>
      <c r="U142" s="20"/>
      <c r="V142" s="20">
        <f>300000-300000</f>
        <v>0</v>
      </c>
      <c r="W142" s="20">
        <f>300000-300000</f>
        <v>0</v>
      </c>
      <c r="X142" s="20"/>
      <c r="Y142" s="118">
        <f t="shared" si="21"/>
        <v>0</v>
      </c>
      <c r="Z142" s="24"/>
      <c r="AA142" s="118">
        <f t="shared" si="16"/>
        <v>0</v>
      </c>
      <c r="AB142" s="118"/>
      <c r="AC142" s="24"/>
      <c r="AD142" s="118">
        <f t="shared" si="17"/>
        <v>0</v>
      </c>
    </row>
    <row r="143" spans="1:30" ht="21">
      <c r="A143" s="169"/>
      <c r="B143" s="169"/>
      <c r="C143" s="169"/>
      <c r="D143" s="166"/>
      <c r="E143" s="19" t="s">
        <v>499</v>
      </c>
      <c r="F143" s="96">
        <v>2084</v>
      </c>
      <c r="G143" s="58">
        <v>2020</v>
      </c>
      <c r="H143" s="20">
        <v>290000</v>
      </c>
      <c r="I143" s="58">
        <v>0</v>
      </c>
      <c r="J143" s="58">
        <v>3132</v>
      </c>
      <c r="K143" s="20">
        <f>290000+1200000</f>
        <v>1490000</v>
      </c>
      <c r="L143" s="58">
        <v>100</v>
      </c>
      <c r="M143" s="20"/>
      <c r="N143" s="20">
        <f>24706.35+265293.65</f>
        <v>290000</v>
      </c>
      <c r="O143" s="20">
        <f>290000</f>
        <v>290000</v>
      </c>
      <c r="P143" s="20"/>
      <c r="Q143" s="20">
        <v>-189000</v>
      </c>
      <c r="R143" s="20"/>
      <c r="S143" s="20">
        <f>600000-290000+50000-360000</f>
        <v>0</v>
      </c>
      <c r="T143" s="20"/>
      <c r="U143" s="20">
        <f>139000</f>
        <v>139000</v>
      </c>
      <c r="V143" s="20">
        <f>300000+360000</f>
        <v>660000</v>
      </c>
      <c r="W143" s="20">
        <f>300000</f>
        <v>300000</v>
      </c>
      <c r="X143" s="20"/>
      <c r="Y143" s="118">
        <f t="shared" si="21"/>
        <v>0</v>
      </c>
      <c r="Z143" s="24">
        <f>297157.62</f>
        <v>297157.62</v>
      </c>
      <c r="AA143" s="118">
        <f t="shared" si="16"/>
        <v>93842.38</v>
      </c>
      <c r="AB143" s="118"/>
      <c r="AC143" s="24"/>
      <c r="AD143" s="118">
        <f t="shared" si="17"/>
        <v>1192842.38</v>
      </c>
    </row>
    <row r="144" spans="1:30" ht="30.75" hidden="1">
      <c r="A144" s="169"/>
      <c r="B144" s="169"/>
      <c r="C144" s="169"/>
      <c r="D144" s="166"/>
      <c r="E144" s="19" t="s">
        <v>476</v>
      </c>
      <c r="F144" s="96">
        <v>2085</v>
      </c>
      <c r="G144" s="58">
        <v>2020</v>
      </c>
      <c r="H144" s="20">
        <v>300000</v>
      </c>
      <c r="I144" s="58">
        <v>0</v>
      </c>
      <c r="J144" s="58">
        <v>3132</v>
      </c>
      <c r="K144" s="20">
        <f>300000-300000</f>
        <v>0</v>
      </c>
      <c r="L144" s="58">
        <v>100</v>
      </c>
      <c r="M144" s="20"/>
      <c r="N144" s="20"/>
      <c r="O144" s="20"/>
      <c r="P144" s="20"/>
      <c r="Q144" s="20"/>
      <c r="R144" s="20"/>
      <c r="S144" s="20"/>
      <c r="T144" s="20">
        <f>150000-150000</f>
        <v>0</v>
      </c>
      <c r="U144" s="20"/>
      <c r="V144" s="20">
        <f>150000-150000</f>
        <v>0</v>
      </c>
      <c r="W144" s="20"/>
      <c r="X144" s="20"/>
      <c r="Y144" s="118">
        <f t="shared" si="21"/>
        <v>0</v>
      </c>
      <c r="Z144" s="24"/>
      <c r="AA144" s="118">
        <f t="shared" si="16"/>
        <v>0</v>
      </c>
      <c r="AB144" s="118"/>
      <c r="AC144" s="24"/>
      <c r="AD144" s="118">
        <f t="shared" si="17"/>
        <v>0</v>
      </c>
    </row>
    <row r="145" spans="1:30" ht="30.75">
      <c r="A145" s="169"/>
      <c r="B145" s="169"/>
      <c r="C145" s="169"/>
      <c r="D145" s="166"/>
      <c r="E145" s="19" t="s">
        <v>477</v>
      </c>
      <c r="F145" s="96">
        <v>2086</v>
      </c>
      <c r="G145" s="58">
        <v>2020</v>
      </c>
      <c r="H145" s="20">
        <v>500000</v>
      </c>
      <c r="I145" s="58">
        <v>0</v>
      </c>
      <c r="J145" s="58">
        <v>3132</v>
      </c>
      <c r="K145" s="20">
        <v>500000</v>
      </c>
      <c r="L145" s="58">
        <v>100</v>
      </c>
      <c r="M145" s="20"/>
      <c r="N145" s="20"/>
      <c r="O145" s="20"/>
      <c r="P145" s="20"/>
      <c r="Q145" s="20"/>
      <c r="R145" s="20"/>
      <c r="S145" s="20">
        <v>36904</v>
      </c>
      <c r="T145" s="20">
        <v>100000</v>
      </c>
      <c r="U145" s="20"/>
      <c r="V145" s="20">
        <v>250000</v>
      </c>
      <c r="W145" s="20">
        <v>113096</v>
      </c>
      <c r="X145" s="20"/>
      <c r="Y145" s="118">
        <f t="shared" si="21"/>
        <v>0</v>
      </c>
      <c r="Z145" s="24">
        <f>7020</f>
        <v>7020</v>
      </c>
      <c r="AA145" s="118">
        <f t="shared" si="16"/>
        <v>29884</v>
      </c>
      <c r="AB145" s="118"/>
      <c r="AC145" s="24"/>
      <c r="AD145" s="118">
        <f t="shared" si="17"/>
        <v>492980</v>
      </c>
    </row>
    <row r="146" spans="1:30" ht="21" hidden="1">
      <c r="A146" s="169"/>
      <c r="B146" s="169"/>
      <c r="C146" s="169"/>
      <c r="D146" s="166"/>
      <c r="E146" s="19" t="s">
        <v>500</v>
      </c>
      <c r="F146" s="96">
        <v>2087</v>
      </c>
      <c r="G146" s="58" t="s">
        <v>201</v>
      </c>
      <c r="H146" s="20">
        <v>402930</v>
      </c>
      <c r="I146" s="58">
        <v>78</v>
      </c>
      <c r="J146" s="58">
        <v>3132</v>
      </c>
      <c r="K146" s="20">
        <f>89164.56-89164.56</f>
        <v>0</v>
      </c>
      <c r="L146" s="58">
        <v>100</v>
      </c>
      <c r="M146" s="20"/>
      <c r="N146" s="20">
        <v>89164.56</v>
      </c>
      <c r="O146" s="20"/>
      <c r="P146" s="20">
        <v>-89164.56</v>
      </c>
      <c r="Q146" s="20"/>
      <c r="R146" s="20"/>
      <c r="S146" s="20"/>
      <c r="T146" s="20"/>
      <c r="U146" s="20"/>
      <c r="V146" s="20"/>
      <c r="W146" s="20"/>
      <c r="X146" s="20"/>
      <c r="Y146" s="118">
        <f t="shared" si="21"/>
        <v>0</v>
      </c>
      <c r="Z146" s="24"/>
      <c r="AA146" s="118">
        <f t="shared" si="16"/>
        <v>0</v>
      </c>
      <c r="AB146" s="118"/>
      <c r="AC146" s="24"/>
      <c r="AD146" s="118">
        <f t="shared" si="17"/>
        <v>0</v>
      </c>
    </row>
    <row r="147" spans="1:30" ht="21" hidden="1">
      <c r="A147" s="169"/>
      <c r="B147" s="169"/>
      <c r="C147" s="169"/>
      <c r="D147" s="166"/>
      <c r="E147" s="19" t="s">
        <v>501</v>
      </c>
      <c r="F147" s="96">
        <v>2088</v>
      </c>
      <c r="G147" s="58" t="s">
        <v>201</v>
      </c>
      <c r="H147" s="20">
        <v>595720</v>
      </c>
      <c r="I147" s="58">
        <v>73</v>
      </c>
      <c r="J147" s="58">
        <v>3132</v>
      </c>
      <c r="K147" s="20">
        <f>159090.39-159090.39</f>
        <v>0</v>
      </c>
      <c r="L147" s="58">
        <v>100</v>
      </c>
      <c r="M147" s="20"/>
      <c r="N147" s="20"/>
      <c r="O147" s="20">
        <f>159090.39</f>
        <v>159090.39</v>
      </c>
      <c r="P147" s="20">
        <v>-159090.39</v>
      </c>
      <c r="Q147" s="20"/>
      <c r="R147" s="20"/>
      <c r="S147" s="20"/>
      <c r="T147" s="20">
        <f>159090.39-159090.39</f>
        <v>0</v>
      </c>
      <c r="U147" s="20"/>
      <c r="V147" s="20"/>
      <c r="W147" s="20"/>
      <c r="X147" s="20"/>
      <c r="Y147" s="118">
        <f t="shared" si="21"/>
        <v>0</v>
      </c>
      <c r="Z147" s="24"/>
      <c r="AA147" s="118">
        <f aca="true" t="shared" si="25" ref="AA147:AA210">M147+N147+O147+P147+Q147+R147+S147-Z147</f>
        <v>0</v>
      </c>
      <c r="AB147" s="118"/>
      <c r="AC147" s="24"/>
      <c r="AD147" s="118">
        <f aca="true" t="shared" si="26" ref="AD147:AD211">K147-Z147+AC147-AB147</f>
        <v>0</v>
      </c>
    </row>
    <row r="148" spans="1:30" ht="21">
      <c r="A148" s="169"/>
      <c r="B148" s="169"/>
      <c r="C148" s="169"/>
      <c r="D148" s="166"/>
      <c r="E148" s="19" t="s">
        <v>699</v>
      </c>
      <c r="F148" s="96">
        <v>2089</v>
      </c>
      <c r="G148" s="58">
        <v>2020</v>
      </c>
      <c r="H148" s="20">
        <v>700000</v>
      </c>
      <c r="I148" s="58">
        <v>0</v>
      </c>
      <c r="J148" s="58">
        <v>3132</v>
      </c>
      <c r="K148" s="20">
        <v>700000</v>
      </c>
      <c r="L148" s="58">
        <v>100</v>
      </c>
      <c r="M148" s="20"/>
      <c r="N148" s="20"/>
      <c r="O148" s="20"/>
      <c r="P148" s="20"/>
      <c r="Q148" s="20">
        <f>700000</f>
        <v>700000</v>
      </c>
      <c r="R148" s="20"/>
      <c r="S148" s="20"/>
      <c r="T148" s="20">
        <f>350000-350000</f>
        <v>0</v>
      </c>
      <c r="U148" s="20"/>
      <c r="V148" s="20">
        <f>150000-150000</f>
        <v>0</v>
      </c>
      <c r="W148" s="20">
        <f>200000-200000</f>
        <v>0</v>
      </c>
      <c r="X148" s="20"/>
      <c r="Y148" s="118">
        <f t="shared" si="21"/>
        <v>0</v>
      </c>
      <c r="Z148" s="24">
        <f>319177+50175</f>
        <v>369352</v>
      </c>
      <c r="AA148" s="118">
        <f t="shared" si="25"/>
        <v>330648</v>
      </c>
      <c r="AB148" s="118"/>
      <c r="AC148" s="24"/>
      <c r="AD148" s="118">
        <f t="shared" si="26"/>
        <v>330648</v>
      </c>
    </row>
    <row r="149" spans="1:30" ht="21">
      <c r="A149" s="169"/>
      <c r="B149" s="169"/>
      <c r="C149" s="169"/>
      <c r="D149" s="166"/>
      <c r="E149" s="19" t="s">
        <v>470</v>
      </c>
      <c r="F149" s="96">
        <v>2090</v>
      </c>
      <c r="G149" s="58">
        <v>2020</v>
      </c>
      <c r="H149" s="20">
        <v>896000</v>
      </c>
      <c r="I149" s="58">
        <v>0</v>
      </c>
      <c r="J149" s="58">
        <v>3132</v>
      </c>
      <c r="K149" s="20">
        <v>896000</v>
      </c>
      <c r="L149" s="58">
        <v>100</v>
      </c>
      <c r="M149" s="20"/>
      <c r="N149" s="20"/>
      <c r="O149" s="20"/>
      <c r="P149" s="20"/>
      <c r="Q149" s="20"/>
      <c r="R149" s="20">
        <v>450000</v>
      </c>
      <c r="S149" s="20">
        <f>-39000</f>
        <v>-39000</v>
      </c>
      <c r="T149" s="20">
        <f>450000-450000</f>
        <v>0</v>
      </c>
      <c r="U149" s="20">
        <f>39000</f>
        <v>39000</v>
      </c>
      <c r="V149" s="20">
        <v>150000</v>
      </c>
      <c r="W149" s="20">
        <v>296000</v>
      </c>
      <c r="X149" s="20"/>
      <c r="Y149" s="118">
        <f t="shared" si="21"/>
        <v>0</v>
      </c>
      <c r="Z149" s="24">
        <v>410524.3</v>
      </c>
      <c r="AA149" s="118">
        <f t="shared" si="25"/>
        <v>475.70000000001164</v>
      </c>
      <c r="AB149" s="118"/>
      <c r="AC149" s="24"/>
      <c r="AD149" s="118">
        <f t="shared" si="26"/>
        <v>485475.7</v>
      </c>
    </row>
    <row r="150" spans="1:30" ht="30.75">
      <c r="A150" s="169"/>
      <c r="B150" s="169"/>
      <c r="C150" s="169"/>
      <c r="D150" s="166"/>
      <c r="E150" s="28" t="s">
        <v>495</v>
      </c>
      <c r="F150" s="96">
        <v>2091</v>
      </c>
      <c r="G150" s="58" t="s">
        <v>201</v>
      </c>
      <c r="H150" s="20">
        <v>1400000</v>
      </c>
      <c r="I150" s="58">
        <v>42</v>
      </c>
      <c r="J150" s="58">
        <v>3132</v>
      </c>
      <c r="K150" s="20">
        <f>810000-670000</f>
        <v>140000</v>
      </c>
      <c r="L150" s="58">
        <v>100</v>
      </c>
      <c r="M150" s="20"/>
      <c r="N150" s="20"/>
      <c r="O150" s="20"/>
      <c r="P150" s="20"/>
      <c r="Q150" s="20"/>
      <c r="R150" s="20"/>
      <c r="S150" s="20">
        <f>400000-260000-140000</f>
        <v>0</v>
      </c>
      <c r="T150" s="20">
        <f>140000</f>
        <v>140000</v>
      </c>
      <c r="U150" s="20"/>
      <c r="V150" s="20">
        <f>410000-410000</f>
        <v>0</v>
      </c>
      <c r="W150" s="20"/>
      <c r="X150" s="20"/>
      <c r="Y150" s="118">
        <f t="shared" si="21"/>
        <v>0</v>
      </c>
      <c r="Z150" s="24"/>
      <c r="AA150" s="118">
        <f t="shared" si="25"/>
        <v>0</v>
      </c>
      <c r="AB150" s="118"/>
      <c r="AC150" s="24"/>
      <c r="AD150" s="118">
        <f t="shared" si="26"/>
        <v>140000</v>
      </c>
    </row>
    <row r="151" spans="1:30" ht="30.75">
      <c r="A151" s="169"/>
      <c r="B151" s="169"/>
      <c r="C151" s="169"/>
      <c r="D151" s="166"/>
      <c r="E151" s="28" t="s">
        <v>496</v>
      </c>
      <c r="F151" s="96">
        <v>2092</v>
      </c>
      <c r="G151" s="58" t="s">
        <v>201</v>
      </c>
      <c r="H151" s="20">
        <v>900000</v>
      </c>
      <c r="I151" s="58">
        <v>62</v>
      </c>
      <c r="J151" s="58">
        <v>3132</v>
      </c>
      <c r="K151" s="20">
        <f>1310000-1000000+42000-152000</f>
        <v>200000</v>
      </c>
      <c r="L151" s="58">
        <v>100</v>
      </c>
      <c r="M151" s="20"/>
      <c r="N151" s="20"/>
      <c r="O151" s="20"/>
      <c r="P151" s="20"/>
      <c r="Q151" s="20"/>
      <c r="R151" s="20"/>
      <c r="S151" s="20">
        <f>180000-152000-28000</f>
        <v>0</v>
      </c>
      <c r="T151" s="20"/>
      <c r="U151" s="20">
        <f>172000+28000</f>
        <v>200000</v>
      </c>
      <c r="V151" s="20"/>
      <c r="W151" s="20"/>
      <c r="X151" s="20"/>
      <c r="Y151" s="118">
        <f t="shared" si="21"/>
        <v>0</v>
      </c>
      <c r="Z151" s="24"/>
      <c r="AA151" s="118">
        <f t="shared" si="25"/>
        <v>0</v>
      </c>
      <c r="AB151" s="118"/>
      <c r="AC151" s="24"/>
      <c r="AD151" s="118">
        <f t="shared" si="26"/>
        <v>200000</v>
      </c>
    </row>
    <row r="152" spans="1:30" ht="21">
      <c r="A152" s="169"/>
      <c r="B152" s="169"/>
      <c r="C152" s="169"/>
      <c r="D152" s="166"/>
      <c r="E152" s="19" t="s">
        <v>510</v>
      </c>
      <c r="F152" s="96">
        <v>2093</v>
      </c>
      <c r="G152" s="58" t="s">
        <v>201</v>
      </c>
      <c r="H152" s="20">
        <v>586000</v>
      </c>
      <c r="I152" s="58">
        <v>90</v>
      </c>
      <c r="J152" s="58">
        <v>3132</v>
      </c>
      <c r="K152" s="20">
        <f>53517-35000</f>
        <v>18517</v>
      </c>
      <c r="L152" s="58">
        <v>100</v>
      </c>
      <c r="M152" s="20"/>
      <c r="N152" s="20"/>
      <c r="O152" s="20"/>
      <c r="P152" s="20"/>
      <c r="Q152" s="20"/>
      <c r="R152" s="20"/>
      <c r="S152" s="20"/>
      <c r="T152" s="20"/>
      <c r="U152" s="20"/>
      <c r="V152" s="20">
        <f>53517-35000</f>
        <v>18517</v>
      </c>
      <c r="W152" s="20"/>
      <c r="X152" s="20"/>
      <c r="Y152" s="118">
        <f t="shared" si="21"/>
        <v>0</v>
      </c>
      <c r="Z152" s="24"/>
      <c r="AA152" s="118">
        <f t="shared" si="25"/>
        <v>0</v>
      </c>
      <c r="AB152" s="118"/>
      <c r="AC152" s="24"/>
      <c r="AD152" s="118">
        <f t="shared" si="26"/>
        <v>18517</v>
      </c>
    </row>
    <row r="153" spans="1:30" ht="21">
      <c r="A153" s="169"/>
      <c r="B153" s="169"/>
      <c r="C153" s="169"/>
      <c r="D153" s="166"/>
      <c r="E153" s="19" t="s">
        <v>511</v>
      </c>
      <c r="F153" s="96">
        <v>2094</v>
      </c>
      <c r="G153" s="58" t="s">
        <v>201</v>
      </c>
      <c r="H153" s="20">
        <v>300000</v>
      </c>
      <c r="I153" s="58">
        <v>88</v>
      </c>
      <c r="J153" s="58">
        <v>3132</v>
      </c>
      <c r="K153" s="20">
        <v>35220</v>
      </c>
      <c r="L153" s="58">
        <v>100</v>
      </c>
      <c r="M153" s="20"/>
      <c r="N153" s="20">
        <v>35220</v>
      </c>
      <c r="O153" s="20"/>
      <c r="P153" s="20"/>
      <c r="Q153" s="20">
        <f>-34000</f>
        <v>-34000</v>
      </c>
      <c r="R153" s="20"/>
      <c r="S153" s="20"/>
      <c r="T153" s="20">
        <f>34000</f>
        <v>34000</v>
      </c>
      <c r="U153" s="20"/>
      <c r="V153" s="20"/>
      <c r="W153" s="20"/>
      <c r="X153" s="20"/>
      <c r="Y153" s="118">
        <f t="shared" si="21"/>
        <v>0</v>
      </c>
      <c r="Z153" s="24"/>
      <c r="AA153" s="118">
        <f t="shared" si="25"/>
        <v>1220</v>
      </c>
      <c r="AB153" s="118"/>
      <c r="AC153" s="24"/>
      <c r="AD153" s="118">
        <f t="shared" si="26"/>
        <v>35220</v>
      </c>
    </row>
    <row r="154" spans="1:30" ht="30.75">
      <c r="A154" s="169"/>
      <c r="B154" s="169"/>
      <c r="C154" s="169"/>
      <c r="D154" s="166"/>
      <c r="E154" s="19" t="s">
        <v>512</v>
      </c>
      <c r="F154" s="96">
        <v>2095</v>
      </c>
      <c r="G154" s="58" t="s">
        <v>201</v>
      </c>
      <c r="H154" s="20">
        <v>485000</v>
      </c>
      <c r="I154" s="58">
        <v>93</v>
      </c>
      <c r="J154" s="58">
        <v>3132</v>
      </c>
      <c r="K154" s="20">
        <v>35266</v>
      </c>
      <c r="L154" s="58">
        <v>100</v>
      </c>
      <c r="M154" s="20"/>
      <c r="N154" s="20">
        <v>35266</v>
      </c>
      <c r="O154" s="20"/>
      <c r="P154" s="20"/>
      <c r="Q154" s="20">
        <f>-29000</f>
        <v>-29000</v>
      </c>
      <c r="R154" s="20"/>
      <c r="S154" s="20"/>
      <c r="T154" s="20"/>
      <c r="U154" s="20">
        <f>29000</f>
        <v>29000</v>
      </c>
      <c r="V154" s="20"/>
      <c r="W154" s="20"/>
      <c r="X154" s="20"/>
      <c r="Y154" s="118">
        <f t="shared" si="21"/>
        <v>0</v>
      </c>
      <c r="Z154" s="24"/>
      <c r="AA154" s="118">
        <f t="shared" si="25"/>
        <v>6266</v>
      </c>
      <c r="AB154" s="118"/>
      <c r="AC154" s="24"/>
      <c r="AD154" s="118">
        <f t="shared" si="26"/>
        <v>35266</v>
      </c>
    </row>
    <row r="155" spans="1:30" ht="21" hidden="1">
      <c r="A155" s="169"/>
      <c r="B155" s="169"/>
      <c r="C155" s="169"/>
      <c r="D155" s="166"/>
      <c r="E155" s="19" t="s">
        <v>482</v>
      </c>
      <c r="F155" s="96">
        <v>2096</v>
      </c>
      <c r="G155" s="58">
        <v>2020</v>
      </c>
      <c r="H155" s="20">
        <v>600000</v>
      </c>
      <c r="I155" s="58">
        <v>0</v>
      </c>
      <c r="J155" s="58">
        <v>3132</v>
      </c>
      <c r="K155" s="20">
        <f>600000-600000</f>
        <v>0</v>
      </c>
      <c r="L155" s="58">
        <v>100</v>
      </c>
      <c r="M155" s="20"/>
      <c r="N155" s="20"/>
      <c r="O155" s="20"/>
      <c r="P155" s="20"/>
      <c r="Q155" s="20"/>
      <c r="R155" s="20"/>
      <c r="S155" s="20"/>
      <c r="T155" s="20">
        <f>300000-300000</f>
        <v>0</v>
      </c>
      <c r="U155" s="20"/>
      <c r="V155" s="20">
        <f>192952-192952</f>
        <v>0</v>
      </c>
      <c r="W155" s="20">
        <f>107048-107048</f>
        <v>0</v>
      </c>
      <c r="X155" s="20"/>
      <c r="Y155" s="118">
        <f aca="true" t="shared" si="27" ref="Y155:Y220">K155-M155-N155-O155-P155-Q155-R155-S155-T155-U155-V155-W155-X155</f>
        <v>0</v>
      </c>
      <c r="Z155" s="24"/>
      <c r="AA155" s="118">
        <f t="shared" si="25"/>
        <v>0</v>
      </c>
      <c r="AB155" s="118"/>
      <c r="AC155" s="24"/>
      <c r="AD155" s="118">
        <f t="shared" si="26"/>
        <v>0</v>
      </c>
    </row>
    <row r="156" spans="1:30" ht="21" hidden="1">
      <c r="A156" s="169"/>
      <c r="B156" s="169"/>
      <c r="C156" s="169"/>
      <c r="D156" s="166"/>
      <c r="E156" s="19" t="s">
        <v>483</v>
      </c>
      <c r="F156" s="96">
        <v>2097</v>
      </c>
      <c r="G156" s="58" t="s">
        <v>201</v>
      </c>
      <c r="H156" s="20">
        <v>665000</v>
      </c>
      <c r="I156" s="58">
        <v>60</v>
      </c>
      <c r="J156" s="58">
        <v>3132</v>
      </c>
      <c r="K156" s="20">
        <f>300000-300000</f>
        <v>0</v>
      </c>
      <c r="L156" s="58">
        <v>100</v>
      </c>
      <c r="M156" s="20"/>
      <c r="N156" s="20"/>
      <c r="O156" s="20"/>
      <c r="P156" s="20"/>
      <c r="Q156" s="20"/>
      <c r="R156" s="20"/>
      <c r="S156" s="20"/>
      <c r="T156" s="20">
        <f>150000-150000</f>
        <v>0</v>
      </c>
      <c r="U156" s="20"/>
      <c r="V156" s="20"/>
      <c r="W156" s="20">
        <f>150000-150000</f>
        <v>0</v>
      </c>
      <c r="X156" s="20"/>
      <c r="Y156" s="118">
        <f t="shared" si="27"/>
        <v>0</v>
      </c>
      <c r="Z156" s="24"/>
      <c r="AA156" s="118">
        <f t="shared" si="25"/>
        <v>0</v>
      </c>
      <c r="AB156" s="118"/>
      <c r="AC156" s="24"/>
      <c r="AD156" s="118">
        <f t="shared" si="26"/>
        <v>0</v>
      </c>
    </row>
    <row r="157" spans="1:30" ht="30.75" hidden="1">
      <c r="A157" s="169"/>
      <c r="B157" s="169"/>
      <c r="C157" s="169"/>
      <c r="D157" s="166"/>
      <c r="E157" s="19" t="s">
        <v>502</v>
      </c>
      <c r="F157" s="96">
        <v>2098</v>
      </c>
      <c r="G157" s="58" t="s">
        <v>201</v>
      </c>
      <c r="H157" s="20">
        <v>665000</v>
      </c>
      <c r="I157" s="58">
        <v>76</v>
      </c>
      <c r="J157" s="58">
        <v>3132</v>
      </c>
      <c r="K157" s="20">
        <f>157116+300000-457116</f>
        <v>0</v>
      </c>
      <c r="L157" s="58">
        <v>100</v>
      </c>
      <c r="M157" s="20"/>
      <c r="N157" s="20">
        <v>157116</v>
      </c>
      <c r="O157" s="20"/>
      <c r="P157" s="20">
        <v>-157116</v>
      </c>
      <c r="Q157" s="20"/>
      <c r="R157" s="20"/>
      <c r="S157" s="20"/>
      <c r="T157" s="20">
        <f>150000-150000</f>
        <v>0</v>
      </c>
      <c r="U157" s="20"/>
      <c r="V157" s="20"/>
      <c r="W157" s="20">
        <f>150000-150000</f>
        <v>0</v>
      </c>
      <c r="X157" s="20"/>
      <c r="Y157" s="118">
        <f t="shared" si="27"/>
        <v>0</v>
      </c>
      <c r="Z157" s="24"/>
      <c r="AA157" s="118">
        <f t="shared" si="25"/>
        <v>0</v>
      </c>
      <c r="AB157" s="118"/>
      <c r="AC157" s="24"/>
      <c r="AD157" s="118">
        <f t="shared" si="26"/>
        <v>0</v>
      </c>
    </row>
    <row r="158" spans="1:30" ht="21">
      <c r="A158" s="169"/>
      <c r="B158" s="169"/>
      <c r="C158" s="169"/>
      <c r="D158" s="166"/>
      <c r="E158" s="26" t="s">
        <v>515</v>
      </c>
      <c r="F158" s="96">
        <v>2099</v>
      </c>
      <c r="G158" s="58">
        <v>2020</v>
      </c>
      <c r="H158" s="20">
        <v>578000</v>
      </c>
      <c r="I158" s="58">
        <v>0</v>
      </c>
      <c r="J158" s="58">
        <v>3132</v>
      </c>
      <c r="K158" s="20">
        <v>578000</v>
      </c>
      <c r="L158" s="58">
        <v>100</v>
      </c>
      <c r="M158" s="20"/>
      <c r="N158" s="20"/>
      <c r="O158" s="20">
        <f>250000</f>
        <v>250000</v>
      </c>
      <c r="P158" s="20"/>
      <c r="Q158" s="20">
        <f>-250000</f>
        <v>-250000</v>
      </c>
      <c r="R158" s="20"/>
      <c r="S158" s="20"/>
      <c r="T158" s="20">
        <f>300000-250000+250000</f>
        <v>300000</v>
      </c>
      <c r="U158" s="20"/>
      <c r="V158" s="20">
        <v>278000</v>
      </c>
      <c r="W158" s="20"/>
      <c r="X158" s="20"/>
      <c r="Y158" s="118">
        <f t="shared" si="27"/>
        <v>0</v>
      </c>
      <c r="Z158" s="24"/>
      <c r="AA158" s="118">
        <f t="shared" si="25"/>
        <v>0</v>
      </c>
      <c r="AB158" s="118"/>
      <c r="AC158" s="24"/>
      <c r="AD158" s="118">
        <f t="shared" si="26"/>
        <v>578000</v>
      </c>
    </row>
    <row r="159" spans="1:30" ht="21">
      <c r="A159" s="169"/>
      <c r="B159" s="169"/>
      <c r="C159" s="169"/>
      <c r="D159" s="166"/>
      <c r="E159" s="19" t="s">
        <v>472</v>
      </c>
      <c r="F159" s="96">
        <v>2100</v>
      </c>
      <c r="G159" s="58">
        <v>2020</v>
      </c>
      <c r="H159" s="20">
        <v>100000</v>
      </c>
      <c r="I159" s="58">
        <v>0</v>
      </c>
      <c r="J159" s="58">
        <v>3132</v>
      </c>
      <c r="K159" s="20">
        <v>100000</v>
      </c>
      <c r="L159" s="58">
        <v>100</v>
      </c>
      <c r="M159" s="20"/>
      <c r="N159" s="20"/>
      <c r="O159" s="20"/>
      <c r="P159" s="20"/>
      <c r="Q159" s="20"/>
      <c r="R159" s="20"/>
      <c r="S159" s="20"/>
      <c r="T159" s="20">
        <v>50000</v>
      </c>
      <c r="U159" s="20"/>
      <c r="V159" s="20">
        <v>50000</v>
      </c>
      <c r="W159" s="20"/>
      <c r="X159" s="20"/>
      <c r="Y159" s="118">
        <f t="shared" si="27"/>
        <v>0</v>
      </c>
      <c r="Z159" s="24"/>
      <c r="AA159" s="118">
        <f t="shared" si="25"/>
        <v>0</v>
      </c>
      <c r="AB159" s="118"/>
      <c r="AC159" s="24"/>
      <c r="AD159" s="118">
        <f t="shared" si="26"/>
        <v>100000</v>
      </c>
    </row>
    <row r="160" spans="1:30" ht="21">
      <c r="A160" s="169"/>
      <c r="B160" s="169"/>
      <c r="C160" s="169"/>
      <c r="D160" s="166"/>
      <c r="E160" s="19" t="s">
        <v>471</v>
      </c>
      <c r="F160" s="96">
        <v>2101</v>
      </c>
      <c r="G160" s="58">
        <v>2020</v>
      </c>
      <c r="H160" s="20">
        <v>1200000</v>
      </c>
      <c r="I160" s="58">
        <v>0</v>
      </c>
      <c r="J160" s="58">
        <v>3132</v>
      </c>
      <c r="K160" s="20">
        <f>1450000-250000</f>
        <v>1200000</v>
      </c>
      <c r="L160" s="58">
        <v>100</v>
      </c>
      <c r="M160" s="20"/>
      <c r="N160" s="20"/>
      <c r="O160" s="20"/>
      <c r="P160" s="20"/>
      <c r="Q160" s="20">
        <f>600000</f>
        <v>600000</v>
      </c>
      <c r="R160" s="20"/>
      <c r="S160" s="20">
        <f>-30000</f>
        <v>-30000</v>
      </c>
      <c r="T160" s="20">
        <f>600000-600000</f>
        <v>0</v>
      </c>
      <c r="U160" s="20">
        <f>30000</f>
        <v>30000</v>
      </c>
      <c r="V160" s="20">
        <v>300000</v>
      </c>
      <c r="W160" s="20">
        <v>300000</v>
      </c>
      <c r="X160" s="20"/>
      <c r="Y160" s="118">
        <f t="shared" si="27"/>
        <v>0</v>
      </c>
      <c r="Z160" s="24">
        <f>569784.5</f>
        <v>569784.5</v>
      </c>
      <c r="AA160" s="118">
        <f t="shared" si="25"/>
        <v>215.5</v>
      </c>
      <c r="AB160" s="118"/>
      <c r="AC160" s="24"/>
      <c r="AD160" s="118">
        <f t="shared" si="26"/>
        <v>630215.5</v>
      </c>
    </row>
    <row r="161" spans="1:30" ht="21">
      <c r="A161" s="169"/>
      <c r="B161" s="169"/>
      <c r="C161" s="169"/>
      <c r="D161" s="166"/>
      <c r="E161" s="26" t="s">
        <v>520</v>
      </c>
      <c r="F161" s="96">
        <v>2102</v>
      </c>
      <c r="G161" s="58" t="s">
        <v>201</v>
      </c>
      <c r="H161" s="20">
        <v>1490000</v>
      </c>
      <c r="I161" s="58">
        <v>56</v>
      </c>
      <c r="J161" s="58">
        <v>3132</v>
      </c>
      <c r="K161" s="20">
        <v>659164.2</v>
      </c>
      <c r="L161" s="58">
        <v>100</v>
      </c>
      <c r="M161" s="20"/>
      <c r="N161" s="20"/>
      <c r="O161" s="20">
        <f>392221.2</f>
        <v>392221.2</v>
      </c>
      <c r="P161" s="20"/>
      <c r="Q161" s="20"/>
      <c r="R161" s="20"/>
      <c r="S161" s="20">
        <f>100000-100000</f>
        <v>0</v>
      </c>
      <c r="T161" s="20">
        <f>279164.2-279164.2</f>
        <v>0</v>
      </c>
      <c r="U161" s="20"/>
      <c r="V161" s="20"/>
      <c r="W161" s="20">
        <f>280000-13057</f>
        <v>266943</v>
      </c>
      <c r="X161" s="20"/>
      <c r="Y161" s="118">
        <f t="shared" si="27"/>
        <v>-5.820766091346741E-11</v>
      </c>
      <c r="Z161" s="24">
        <f>392221.2</f>
        <v>392221.2</v>
      </c>
      <c r="AA161" s="118">
        <f t="shared" si="25"/>
        <v>0</v>
      </c>
      <c r="AB161" s="118"/>
      <c r="AC161" s="24"/>
      <c r="AD161" s="118">
        <f t="shared" si="26"/>
        <v>266942.99999999994</v>
      </c>
    </row>
    <row r="162" spans="1:30" ht="62.25">
      <c r="A162" s="169"/>
      <c r="B162" s="169"/>
      <c r="C162" s="169"/>
      <c r="D162" s="166"/>
      <c r="E162" s="26" t="s">
        <v>521</v>
      </c>
      <c r="F162" s="96">
        <v>2103</v>
      </c>
      <c r="G162" s="58" t="s">
        <v>201</v>
      </c>
      <c r="H162" s="20">
        <v>1075000</v>
      </c>
      <c r="I162" s="58">
        <v>88</v>
      </c>
      <c r="J162" s="58">
        <v>3132</v>
      </c>
      <c r="K162" s="20">
        <f>123656.8+237575.2</f>
        <v>361232</v>
      </c>
      <c r="L162" s="58">
        <v>100</v>
      </c>
      <c r="M162" s="20"/>
      <c r="N162" s="20"/>
      <c r="O162" s="20"/>
      <c r="P162" s="20"/>
      <c r="Q162" s="20"/>
      <c r="R162" s="20"/>
      <c r="S162" s="20">
        <f>60000+301232</f>
        <v>361232</v>
      </c>
      <c r="T162" s="20"/>
      <c r="U162" s="20">
        <f>63656.8-63656.8</f>
        <v>0</v>
      </c>
      <c r="V162" s="20">
        <f>237575.2-237575.2</f>
        <v>0</v>
      </c>
      <c r="W162" s="20"/>
      <c r="X162" s="20"/>
      <c r="Y162" s="118">
        <f t="shared" si="27"/>
        <v>0</v>
      </c>
      <c r="Z162" s="24">
        <v>333801.6</v>
      </c>
      <c r="AA162" s="118">
        <f t="shared" si="25"/>
        <v>27430.400000000023</v>
      </c>
      <c r="AB162" s="118"/>
      <c r="AC162" s="24"/>
      <c r="AD162" s="118">
        <f t="shared" si="26"/>
        <v>27430.400000000023</v>
      </c>
    </row>
    <row r="163" spans="1:30" ht="46.5">
      <c r="A163" s="169"/>
      <c r="B163" s="169"/>
      <c r="C163" s="169"/>
      <c r="D163" s="166"/>
      <c r="E163" s="19" t="s">
        <v>473</v>
      </c>
      <c r="F163" s="96">
        <v>2104</v>
      </c>
      <c r="G163" s="58">
        <v>2020</v>
      </c>
      <c r="H163" s="20">
        <v>1150000</v>
      </c>
      <c r="I163" s="58">
        <v>0</v>
      </c>
      <c r="J163" s="58">
        <v>3132</v>
      </c>
      <c r="K163" s="20">
        <f>1150000-1145000</f>
        <v>5000</v>
      </c>
      <c r="L163" s="58">
        <v>100</v>
      </c>
      <c r="M163" s="20"/>
      <c r="N163" s="20"/>
      <c r="O163" s="20"/>
      <c r="P163" s="20"/>
      <c r="Q163" s="20"/>
      <c r="R163" s="20"/>
      <c r="S163" s="20"/>
      <c r="T163" s="20">
        <f>600000-595000</f>
        <v>5000</v>
      </c>
      <c r="U163" s="20"/>
      <c r="V163" s="20">
        <f>300000-300000</f>
        <v>0</v>
      </c>
      <c r="W163" s="20">
        <f>250000-250000</f>
        <v>0</v>
      </c>
      <c r="X163" s="20"/>
      <c r="Y163" s="118">
        <f t="shared" si="27"/>
        <v>0</v>
      </c>
      <c r="Z163" s="24"/>
      <c r="AA163" s="118">
        <f t="shared" si="25"/>
        <v>0</v>
      </c>
      <c r="AB163" s="118"/>
      <c r="AC163" s="24"/>
      <c r="AD163" s="118">
        <f t="shared" si="26"/>
        <v>5000</v>
      </c>
    </row>
    <row r="164" spans="1:30" ht="17.25" customHeight="1" hidden="1">
      <c r="A164" s="169"/>
      <c r="B164" s="169"/>
      <c r="C164" s="169"/>
      <c r="D164" s="166"/>
      <c r="E164" s="19" t="s">
        <v>659</v>
      </c>
      <c r="F164" s="96">
        <v>2105</v>
      </c>
      <c r="G164" s="58">
        <v>2020</v>
      </c>
      <c r="H164" s="20">
        <v>1500000</v>
      </c>
      <c r="I164" s="58">
        <v>0</v>
      </c>
      <c r="J164" s="58">
        <v>3132</v>
      </c>
      <c r="K164" s="20">
        <f>1500000-1500000</f>
        <v>0</v>
      </c>
      <c r="L164" s="58">
        <v>100</v>
      </c>
      <c r="M164" s="20"/>
      <c r="N164" s="20"/>
      <c r="O164" s="20"/>
      <c r="P164" s="20"/>
      <c r="Q164" s="20"/>
      <c r="R164" s="20"/>
      <c r="S164" s="20"/>
      <c r="T164" s="20">
        <f>750000-750000</f>
        <v>0</v>
      </c>
      <c r="U164" s="20"/>
      <c r="V164" s="20">
        <f>400000-400000</f>
        <v>0</v>
      </c>
      <c r="W164" s="20"/>
      <c r="X164" s="20">
        <f>350000-350000</f>
        <v>0</v>
      </c>
      <c r="Y164" s="118">
        <f t="shared" si="27"/>
        <v>0</v>
      </c>
      <c r="Z164" s="24"/>
      <c r="AA164" s="118">
        <f t="shared" si="25"/>
        <v>0</v>
      </c>
      <c r="AB164" s="118"/>
      <c r="AC164" s="24"/>
      <c r="AD164" s="118">
        <f t="shared" si="26"/>
        <v>0</v>
      </c>
    </row>
    <row r="165" spans="1:30" ht="17.25" customHeight="1">
      <c r="A165" s="169"/>
      <c r="B165" s="169"/>
      <c r="C165" s="169"/>
      <c r="D165" s="166"/>
      <c r="E165" s="19" t="s">
        <v>486</v>
      </c>
      <c r="F165" s="96">
        <v>2106</v>
      </c>
      <c r="G165" s="58">
        <v>2020</v>
      </c>
      <c r="H165" s="20">
        <v>1500000</v>
      </c>
      <c r="I165" s="58">
        <v>0</v>
      </c>
      <c r="J165" s="58">
        <v>3132</v>
      </c>
      <c r="K165" s="20">
        <f>1500000-500000</f>
        <v>1000000</v>
      </c>
      <c r="L165" s="58">
        <v>100</v>
      </c>
      <c r="M165" s="20"/>
      <c r="N165" s="20"/>
      <c r="O165" s="20"/>
      <c r="P165" s="20"/>
      <c r="Q165" s="20"/>
      <c r="R165" s="20"/>
      <c r="S165" s="20">
        <f>500000</f>
        <v>500000</v>
      </c>
      <c r="T165" s="20"/>
      <c r="U165" s="20">
        <f>750000-500000-250000</f>
        <v>0</v>
      </c>
      <c r="V165" s="20"/>
      <c r="W165" s="20">
        <f>400000-250000</f>
        <v>150000</v>
      </c>
      <c r="X165" s="20">
        <v>350000</v>
      </c>
      <c r="Y165" s="118">
        <f t="shared" si="27"/>
        <v>0</v>
      </c>
      <c r="Z165" s="24">
        <f>500000</f>
        <v>500000</v>
      </c>
      <c r="AA165" s="118">
        <f t="shared" si="25"/>
        <v>0</v>
      </c>
      <c r="AB165" s="118"/>
      <c r="AC165" s="24"/>
      <c r="AD165" s="118">
        <f t="shared" si="26"/>
        <v>500000</v>
      </c>
    </row>
    <row r="166" spans="1:30" ht="21">
      <c r="A166" s="169"/>
      <c r="B166" s="169"/>
      <c r="C166" s="169"/>
      <c r="D166" s="166"/>
      <c r="E166" s="19" t="s">
        <v>488</v>
      </c>
      <c r="F166" s="96">
        <v>2107</v>
      </c>
      <c r="G166" s="58">
        <v>2020</v>
      </c>
      <c r="H166" s="20">
        <v>150000</v>
      </c>
      <c r="I166" s="58">
        <v>0</v>
      </c>
      <c r="J166" s="58">
        <v>3132</v>
      </c>
      <c r="K166" s="20">
        <v>150000</v>
      </c>
      <c r="L166" s="58">
        <v>100</v>
      </c>
      <c r="M166" s="20"/>
      <c r="N166" s="20"/>
      <c r="O166" s="20"/>
      <c r="P166" s="20"/>
      <c r="Q166" s="20"/>
      <c r="R166" s="20"/>
      <c r="S166" s="20"/>
      <c r="T166" s="20"/>
      <c r="U166" s="20">
        <v>150000</v>
      </c>
      <c r="V166" s="20"/>
      <c r="W166" s="20"/>
      <c r="X166" s="20"/>
      <c r="Y166" s="118">
        <f t="shared" si="27"/>
        <v>0</v>
      </c>
      <c r="Z166" s="24"/>
      <c r="AA166" s="118">
        <f t="shared" si="25"/>
        <v>0</v>
      </c>
      <c r="AB166" s="118"/>
      <c r="AC166" s="24"/>
      <c r="AD166" s="118">
        <f t="shared" si="26"/>
        <v>150000</v>
      </c>
    </row>
    <row r="167" spans="1:30" ht="21">
      <c r="A167" s="169"/>
      <c r="B167" s="169"/>
      <c r="C167" s="169"/>
      <c r="D167" s="166"/>
      <c r="E167" s="19" t="s">
        <v>503</v>
      </c>
      <c r="F167" s="96">
        <v>2108</v>
      </c>
      <c r="G167" s="58" t="s">
        <v>201</v>
      </c>
      <c r="H167" s="20">
        <v>1490000</v>
      </c>
      <c r="I167" s="58">
        <v>55</v>
      </c>
      <c r="J167" s="58">
        <v>3132</v>
      </c>
      <c r="K167" s="20">
        <v>671072</v>
      </c>
      <c r="L167" s="58">
        <v>100</v>
      </c>
      <c r="M167" s="20"/>
      <c r="N167" s="20"/>
      <c r="O167" s="20">
        <f>671072</f>
        <v>671072</v>
      </c>
      <c r="P167" s="20"/>
      <c r="Q167" s="20"/>
      <c r="R167" s="20"/>
      <c r="S167" s="20">
        <f>671072-671072</f>
        <v>0</v>
      </c>
      <c r="T167" s="20"/>
      <c r="U167" s="20"/>
      <c r="V167" s="20"/>
      <c r="W167" s="20"/>
      <c r="X167" s="20"/>
      <c r="Y167" s="118">
        <f t="shared" si="27"/>
        <v>0</v>
      </c>
      <c r="Z167" s="24">
        <v>671072</v>
      </c>
      <c r="AA167" s="118">
        <f t="shared" si="25"/>
        <v>0</v>
      </c>
      <c r="AB167" s="118"/>
      <c r="AC167" s="24"/>
      <c r="AD167" s="118">
        <f t="shared" si="26"/>
        <v>0</v>
      </c>
    </row>
    <row r="168" spans="1:30" ht="21">
      <c r="A168" s="169"/>
      <c r="B168" s="169"/>
      <c r="C168" s="169"/>
      <c r="D168" s="166"/>
      <c r="E168" s="19" t="s">
        <v>662</v>
      </c>
      <c r="F168" s="96">
        <v>2109</v>
      </c>
      <c r="G168" s="58">
        <v>2020</v>
      </c>
      <c r="H168" s="20">
        <v>500000</v>
      </c>
      <c r="I168" s="58">
        <v>0</v>
      </c>
      <c r="J168" s="58">
        <v>3132</v>
      </c>
      <c r="K168" s="20">
        <v>500000</v>
      </c>
      <c r="L168" s="58">
        <v>100</v>
      </c>
      <c r="M168" s="20"/>
      <c r="N168" s="20"/>
      <c r="O168" s="20">
        <f>100000-50000</f>
        <v>50000</v>
      </c>
      <c r="P168" s="20"/>
      <c r="Q168" s="20"/>
      <c r="R168" s="20"/>
      <c r="S168" s="20"/>
      <c r="T168" s="20">
        <f>250000-100000</f>
        <v>150000</v>
      </c>
      <c r="U168" s="20"/>
      <c r="V168" s="20">
        <v>250000</v>
      </c>
      <c r="W168" s="20">
        <f>50000</f>
        <v>50000</v>
      </c>
      <c r="X168" s="20"/>
      <c r="Y168" s="118">
        <f t="shared" si="27"/>
        <v>0</v>
      </c>
      <c r="Z168" s="24"/>
      <c r="AA168" s="118">
        <f t="shared" si="25"/>
        <v>50000</v>
      </c>
      <c r="AB168" s="118"/>
      <c r="AC168" s="24"/>
      <c r="AD168" s="118">
        <f t="shared" si="26"/>
        <v>500000</v>
      </c>
    </row>
    <row r="169" spans="1:30" ht="21" hidden="1">
      <c r="A169" s="169"/>
      <c r="B169" s="169"/>
      <c r="C169" s="169"/>
      <c r="D169" s="166"/>
      <c r="E169" s="19" t="s">
        <v>493</v>
      </c>
      <c r="F169" s="96">
        <v>2110</v>
      </c>
      <c r="G169" s="58" t="s">
        <v>201</v>
      </c>
      <c r="H169" s="20">
        <v>500000</v>
      </c>
      <c r="I169" s="58">
        <v>50</v>
      </c>
      <c r="J169" s="58">
        <v>3132</v>
      </c>
      <c r="K169" s="20">
        <f>250000-250000</f>
        <v>0</v>
      </c>
      <c r="L169" s="58">
        <v>100</v>
      </c>
      <c r="M169" s="20"/>
      <c r="N169" s="20"/>
      <c r="O169" s="20"/>
      <c r="P169" s="20">
        <v>130000</v>
      </c>
      <c r="Q169" s="20"/>
      <c r="R169" s="20">
        <v>-130000</v>
      </c>
      <c r="S169" s="20"/>
      <c r="T169" s="20"/>
      <c r="U169" s="20"/>
      <c r="V169" s="20">
        <f>120000+130000-250000</f>
        <v>0</v>
      </c>
      <c r="W169" s="20"/>
      <c r="X169" s="20"/>
      <c r="Y169" s="118">
        <f t="shared" si="27"/>
        <v>0</v>
      </c>
      <c r="Z169" s="24"/>
      <c r="AA169" s="118">
        <f t="shared" si="25"/>
        <v>0</v>
      </c>
      <c r="AB169" s="118"/>
      <c r="AC169" s="24"/>
      <c r="AD169" s="118">
        <f t="shared" si="26"/>
        <v>0</v>
      </c>
    </row>
    <row r="170" spans="1:30" ht="21">
      <c r="A170" s="169"/>
      <c r="B170" s="169"/>
      <c r="C170" s="169"/>
      <c r="D170" s="166"/>
      <c r="E170" s="19" t="s">
        <v>468</v>
      </c>
      <c r="F170" s="96">
        <v>2111</v>
      </c>
      <c r="G170" s="58">
        <v>2020</v>
      </c>
      <c r="H170" s="20">
        <v>1390000</v>
      </c>
      <c r="I170" s="58">
        <v>0</v>
      </c>
      <c r="J170" s="58">
        <v>3132</v>
      </c>
      <c r="K170" s="20">
        <v>1390000</v>
      </c>
      <c r="L170" s="58">
        <v>100</v>
      </c>
      <c r="M170" s="20"/>
      <c r="N170" s="20"/>
      <c r="O170" s="20"/>
      <c r="P170" s="20">
        <v>600000</v>
      </c>
      <c r="Q170" s="20"/>
      <c r="R170" s="20"/>
      <c r="S170" s="20">
        <f>100000-100000</f>
        <v>0</v>
      </c>
      <c r="T170" s="20">
        <v>100000</v>
      </c>
      <c r="U170" s="20"/>
      <c r="V170" s="20">
        <v>690000</v>
      </c>
      <c r="W170" s="20"/>
      <c r="X170" s="20"/>
      <c r="Y170" s="118">
        <f t="shared" si="27"/>
        <v>0</v>
      </c>
      <c r="Z170" s="24">
        <v>600000</v>
      </c>
      <c r="AA170" s="118">
        <f t="shared" si="25"/>
        <v>0</v>
      </c>
      <c r="AB170" s="118"/>
      <c r="AC170" s="24"/>
      <c r="AD170" s="118">
        <f t="shared" si="26"/>
        <v>790000</v>
      </c>
    </row>
    <row r="171" spans="1:30" ht="30" customHeight="1">
      <c r="A171" s="169"/>
      <c r="B171" s="169"/>
      <c r="C171" s="169"/>
      <c r="D171" s="166"/>
      <c r="E171" s="26" t="s">
        <v>516</v>
      </c>
      <c r="F171" s="96">
        <v>2112</v>
      </c>
      <c r="G171" s="58" t="s">
        <v>201</v>
      </c>
      <c r="H171" s="20">
        <v>500000</v>
      </c>
      <c r="I171" s="58">
        <v>72</v>
      </c>
      <c r="J171" s="58">
        <v>3132</v>
      </c>
      <c r="K171" s="20">
        <f>361627.79+250000</f>
        <v>611627.79</v>
      </c>
      <c r="L171" s="58">
        <v>100</v>
      </c>
      <c r="M171" s="20"/>
      <c r="N171" s="20">
        <v>5570</v>
      </c>
      <c r="O171" s="20">
        <v>26225.79</v>
      </c>
      <c r="P171" s="20">
        <v>147951.29</v>
      </c>
      <c r="Q171" s="20"/>
      <c r="R171" s="20">
        <v>-179000</v>
      </c>
      <c r="S171" s="20"/>
      <c r="T171" s="20"/>
      <c r="U171" s="20">
        <v>181880.71</v>
      </c>
      <c r="V171" s="20">
        <f>179000+250000</f>
        <v>429000</v>
      </c>
      <c r="W171" s="20"/>
      <c r="X171" s="20"/>
      <c r="Y171" s="118">
        <f t="shared" si="27"/>
        <v>0</v>
      </c>
      <c r="Z171" s="24"/>
      <c r="AA171" s="118">
        <f t="shared" si="25"/>
        <v>747.0800000000163</v>
      </c>
      <c r="AB171" s="118"/>
      <c r="AC171" s="24"/>
      <c r="AD171" s="118">
        <f t="shared" si="26"/>
        <v>611627.79</v>
      </c>
    </row>
    <row r="172" spans="1:30" ht="21">
      <c r="A172" s="169"/>
      <c r="B172" s="169"/>
      <c r="C172" s="169"/>
      <c r="D172" s="166"/>
      <c r="E172" s="19" t="s">
        <v>661</v>
      </c>
      <c r="F172" s="96">
        <v>2113</v>
      </c>
      <c r="G172" s="58">
        <v>2020</v>
      </c>
      <c r="H172" s="20">
        <v>500000</v>
      </c>
      <c r="I172" s="58">
        <v>0</v>
      </c>
      <c r="J172" s="58">
        <v>3132</v>
      </c>
      <c r="K172" s="20">
        <v>500000</v>
      </c>
      <c r="L172" s="58">
        <v>100</v>
      </c>
      <c r="M172" s="20"/>
      <c r="N172" s="20"/>
      <c r="O172" s="20">
        <f>100000</f>
        <v>100000</v>
      </c>
      <c r="P172" s="20"/>
      <c r="Q172" s="20"/>
      <c r="R172" s="20"/>
      <c r="S172" s="20"/>
      <c r="T172" s="20">
        <f>250000-100000</f>
        <v>150000</v>
      </c>
      <c r="U172" s="20"/>
      <c r="V172" s="20">
        <v>250000</v>
      </c>
      <c r="W172" s="20"/>
      <c r="X172" s="20"/>
      <c r="Y172" s="118">
        <f t="shared" si="27"/>
        <v>0</v>
      </c>
      <c r="Z172" s="24"/>
      <c r="AA172" s="118">
        <f t="shared" si="25"/>
        <v>100000</v>
      </c>
      <c r="AB172" s="118"/>
      <c r="AC172" s="24"/>
      <c r="AD172" s="118">
        <f t="shared" si="26"/>
        <v>500000</v>
      </c>
    </row>
    <row r="173" spans="1:30" ht="21">
      <c r="A173" s="169"/>
      <c r="B173" s="169"/>
      <c r="C173" s="169"/>
      <c r="D173" s="166"/>
      <c r="E173" s="19" t="s">
        <v>469</v>
      </c>
      <c r="F173" s="96">
        <v>2114</v>
      </c>
      <c r="G173" s="58">
        <v>2020</v>
      </c>
      <c r="H173" s="20">
        <v>1390001</v>
      </c>
      <c r="I173" s="58">
        <v>0</v>
      </c>
      <c r="J173" s="58">
        <v>3132</v>
      </c>
      <c r="K173" s="20">
        <f>1390001-1380000</f>
        <v>10001</v>
      </c>
      <c r="L173" s="58">
        <v>100</v>
      </c>
      <c r="M173" s="20"/>
      <c r="N173" s="20"/>
      <c r="O173" s="20"/>
      <c r="P173" s="20">
        <f>609379.34-599378.34</f>
        <v>10001</v>
      </c>
      <c r="Q173" s="20"/>
      <c r="R173" s="20"/>
      <c r="S173" s="20">
        <f>90621.66-90621.66</f>
        <v>0</v>
      </c>
      <c r="T173" s="20"/>
      <c r="U173" s="20"/>
      <c r="V173" s="20">
        <f>690000-690000</f>
        <v>0</v>
      </c>
      <c r="W173" s="20"/>
      <c r="X173" s="20"/>
      <c r="Y173" s="118">
        <f t="shared" si="27"/>
        <v>0</v>
      </c>
      <c r="Z173" s="24"/>
      <c r="AA173" s="118">
        <f t="shared" si="25"/>
        <v>10001</v>
      </c>
      <c r="AB173" s="118"/>
      <c r="AC173" s="24"/>
      <c r="AD173" s="118">
        <f t="shared" si="26"/>
        <v>10001</v>
      </c>
    </row>
    <row r="174" spans="1:30" ht="21">
      <c r="A174" s="169"/>
      <c r="B174" s="169"/>
      <c r="C174" s="169"/>
      <c r="D174" s="166"/>
      <c r="E174" s="19" t="s">
        <v>497</v>
      </c>
      <c r="F174" s="96">
        <v>2115</v>
      </c>
      <c r="G174" s="58" t="s">
        <v>201</v>
      </c>
      <c r="H174" s="20">
        <v>1480000</v>
      </c>
      <c r="I174" s="58">
        <v>72</v>
      </c>
      <c r="J174" s="58">
        <v>3132</v>
      </c>
      <c r="K174" s="20">
        <v>414559.6</v>
      </c>
      <c r="L174" s="58">
        <v>100</v>
      </c>
      <c r="M174" s="20"/>
      <c r="N174" s="20"/>
      <c r="O174" s="20">
        <f>414559.6</f>
        <v>414559.6</v>
      </c>
      <c r="P174" s="20"/>
      <c r="Q174" s="20"/>
      <c r="R174" s="20"/>
      <c r="S174" s="20"/>
      <c r="T174" s="20"/>
      <c r="U174" s="20"/>
      <c r="V174" s="20"/>
      <c r="W174" s="20">
        <f>414559.6-414559.6</f>
        <v>0</v>
      </c>
      <c r="X174" s="20"/>
      <c r="Y174" s="118">
        <f t="shared" si="27"/>
        <v>0</v>
      </c>
      <c r="Z174" s="24">
        <v>414559.6</v>
      </c>
      <c r="AA174" s="118">
        <f t="shared" si="25"/>
        <v>0</v>
      </c>
      <c r="AB174" s="118"/>
      <c r="AC174" s="24"/>
      <c r="AD174" s="118">
        <f t="shared" si="26"/>
        <v>0</v>
      </c>
    </row>
    <row r="175" spans="1:30" ht="21" hidden="1">
      <c r="A175" s="169"/>
      <c r="B175" s="169"/>
      <c r="C175" s="169"/>
      <c r="D175" s="166"/>
      <c r="E175" s="19" t="s">
        <v>480</v>
      </c>
      <c r="F175" s="96">
        <v>2116</v>
      </c>
      <c r="G175" s="58">
        <v>2020</v>
      </c>
      <c r="H175" s="20">
        <v>750000</v>
      </c>
      <c r="I175" s="58">
        <v>0</v>
      </c>
      <c r="J175" s="58">
        <v>3132</v>
      </c>
      <c r="K175" s="20">
        <f>750000-750000</f>
        <v>0</v>
      </c>
      <c r="L175" s="58">
        <v>100</v>
      </c>
      <c r="M175" s="20"/>
      <c r="N175" s="20"/>
      <c r="O175" s="20"/>
      <c r="P175" s="20"/>
      <c r="Q175" s="20"/>
      <c r="R175" s="20"/>
      <c r="S175" s="20"/>
      <c r="T175" s="20">
        <f>400000-400000</f>
        <v>0</v>
      </c>
      <c r="U175" s="20"/>
      <c r="V175" s="20">
        <f>200000-200000</f>
        <v>0</v>
      </c>
      <c r="W175" s="20">
        <f>150000-150000</f>
        <v>0</v>
      </c>
      <c r="X175" s="20"/>
      <c r="Y175" s="118">
        <f t="shared" si="27"/>
        <v>0</v>
      </c>
      <c r="Z175" s="24"/>
      <c r="AA175" s="118">
        <f t="shared" si="25"/>
        <v>0</v>
      </c>
      <c r="AB175" s="118"/>
      <c r="AC175" s="24"/>
      <c r="AD175" s="118">
        <f t="shared" si="26"/>
        <v>0</v>
      </c>
    </row>
    <row r="176" spans="1:30" ht="21">
      <c r="A176" s="169"/>
      <c r="B176" s="169"/>
      <c r="C176" s="169"/>
      <c r="D176" s="166"/>
      <c r="E176" s="19" t="s">
        <v>484</v>
      </c>
      <c r="F176" s="96">
        <v>2117</v>
      </c>
      <c r="G176" s="58">
        <v>2020</v>
      </c>
      <c r="H176" s="20">
        <v>700000</v>
      </c>
      <c r="I176" s="58">
        <v>0</v>
      </c>
      <c r="J176" s="58">
        <v>3132</v>
      </c>
      <c r="K176" s="20">
        <f>700000+220000-900000</f>
        <v>20000</v>
      </c>
      <c r="L176" s="58">
        <v>100</v>
      </c>
      <c r="M176" s="20"/>
      <c r="N176" s="20"/>
      <c r="O176" s="20"/>
      <c r="P176" s="20"/>
      <c r="Q176" s="20"/>
      <c r="R176" s="20"/>
      <c r="S176" s="20"/>
      <c r="T176" s="20">
        <f>350000-330000</f>
        <v>20000</v>
      </c>
      <c r="U176" s="20"/>
      <c r="V176" s="20">
        <f>200000+220000-420000</f>
        <v>0</v>
      </c>
      <c r="W176" s="20">
        <f>150000-150000</f>
        <v>0</v>
      </c>
      <c r="X176" s="20"/>
      <c r="Y176" s="118">
        <f t="shared" si="27"/>
        <v>0</v>
      </c>
      <c r="Z176" s="24"/>
      <c r="AA176" s="118">
        <f t="shared" si="25"/>
        <v>0</v>
      </c>
      <c r="AB176" s="118"/>
      <c r="AC176" s="24"/>
      <c r="AD176" s="118">
        <f t="shared" si="26"/>
        <v>20000</v>
      </c>
    </row>
    <row r="177" spans="1:30" ht="21">
      <c r="A177" s="169"/>
      <c r="B177" s="169"/>
      <c r="C177" s="169"/>
      <c r="D177" s="166"/>
      <c r="E177" s="63" t="s">
        <v>494</v>
      </c>
      <c r="F177" s="96">
        <v>2118</v>
      </c>
      <c r="G177" s="58" t="s">
        <v>201</v>
      </c>
      <c r="H177" s="20">
        <v>2210000</v>
      </c>
      <c r="I177" s="58">
        <v>60</v>
      </c>
      <c r="J177" s="58">
        <v>3132</v>
      </c>
      <c r="K177" s="20">
        <v>893000</v>
      </c>
      <c r="L177" s="58">
        <v>100</v>
      </c>
      <c r="M177" s="20"/>
      <c r="N177" s="20"/>
      <c r="O177" s="20">
        <f>724000</f>
        <v>724000</v>
      </c>
      <c r="P177" s="20">
        <f>893000-724000</f>
        <v>169000</v>
      </c>
      <c r="Q177" s="20"/>
      <c r="R177" s="20"/>
      <c r="S177" s="20"/>
      <c r="T177" s="20"/>
      <c r="U177" s="20"/>
      <c r="V177" s="20"/>
      <c r="W177" s="20"/>
      <c r="X177" s="20"/>
      <c r="Y177" s="118">
        <f t="shared" si="27"/>
        <v>0</v>
      </c>
      <c r="Z177" s="24">
        <f>723549.6+115633.21+27492</f>
        <v>866674.8099999999</v>
      </c>
      <c r="AA177" s="118">
        <f t="shared" si="25"/>
        <v>26325.19000000006</v>
      </c>
      <c r="AB177" s="118"/>
      <c r="AC177" s="24"/>
      <c r="AD177" s="118">
        <f t="shared" si="26"/>
        <v>26325.19000000006</v>
      </c>
    </row>
    <row r="178" spans="1:30" ht="21">
      <c r="A178" s="169"/>
      <c r="B178" s="169"/>
      <c r="C178" s="169"/>
      <c r="D178" s="166"/>
      <c r="E178" s="63" t="s">
        <v>464</v>
      </c>
      <c r="F178" s="96">
        <v>2119</v>
      </c>
      <c r="G178" s="58">
        <v>2020</v>
      </c>
      <c r="H178" s="20">
        <v>350000</v>
      </c>
      <c r="I178" s="58">
        <v>0</v>
      </c>
      <c r="J178" s="58">
        <v>3132</v>
      </c>
      <c r="K178" s="20">
        <v>350000</v>
      </c>
      <c r="L178" s="58">
        <v>100</v>
      </c>
      <c r="M178" s="20"/>
      <c r="N178" s="20"/>
      <c r="O178" s="20"/>
      <c r="P178" s="20"/>
      <c r="Q178" s="20"/>
      <c r="R178" s="20"/>
      <c r="S178" s="20"/>
      <c r="T178" s="20">
        <v>200000</v>
      </c>
      <c r="U178" s="20"/>
      <c r="V178" s="20"/>
      <c r="W178" s="20">
        <v>150000</v>
      </c>
      <c r="X178" s="20"/>
      <c r="Y178" s="118">
        <f t="shared" si="27"/>
        <v>0</v>
      </c>
      <c r="Z178" s="24"/>
      <c r="AA178" s="118">
        <f t="shared" si="25"/>
        <v>0</v>
      </c>
      <c r="AB178" s="118"/>
      <c r="AC178" s="24"/>
      <c r="AD178" s="118">
        <f t="shared" si="26"/>
        <v>350000</v>
      </c>
    </row>
    <row r="179" spans="1:30" ht="21">
      <c r="A179" s="169"/>
      <c r="B179" s="169"/>
      <c r="C179" s="169"/>
      <c r="D179" s="166"/>
      <c r="E179" s="63" t="s">
        <v>465</v>
      </c>
      <c r="F179" s="96">
        <v>2120</v>
      </c>
      <c r="G179" s="58">
        <v>2020</v>
      </c>
      <c r="H179" s="20">
        <v>250000</v>
      </c>
      <c r="I179" s="58">
        <v>0</v>
      </c>
      <c r="J179" s="58">
        <v>3132</v>
      </c>
      <c r="K179" s="20">
        <v>250000</v>
      </c>
      <c r="L179" s="58">
        <v>100</v>
      </c>
      <c r="M179" s="20"/>
      <c r="N179" s="20"/>
      <c r="O179" s="20"/>
      <c r="P179" s="20"/>
      <c r="Q179" s="20"/>
      <c r="R179" s="20"/>
      <c r="S179" s="20"/>
      <c r="T179" s="20"/>
      <c r="U179" s="20">
        <v>150000</v>
      </c>
      <c r="V179" s="20"/>
      <c r="W179" s="20">
        <v>100000</v>
      </c>
      <c r="X179" s="20"/>
      <c r="Y179" s="118">
        <f t="shared" si="27"/>
        <v>0</v>
      </c>
      <c r="Z179" s="24"/>
      <c r="AA179" s="118">
        <f t="shared" si="25"/>
        <v>0</v>
      </c>
      <c r="AB179" s="118"/>
      <c r="AC179" s="24"/>
      <c r="AD179" s="118">
        <f t="shared" si="26"/>
        <v>250000</v>
      </c>
    </row>
    <row r="180" spans="1:30" ht="21" hidden="1">
      <c r="A180" s="169"/>
      <c r="B180" s="169"/>
      <c r="C180" s="169"/>
      <c r="D180" s="166"/>
      <c r="E180" s="19" t="s">
        <v>485</v>
      </c>
      <c r="F180" s="96">
        <v>2121</v>
      </c>
      <c r="G180" s="58">
        <v>2020</v>
      </c>
      <c r="H180" s="20">
        <v>500000</v>
      </c>
      <c r="I180" s="58">
        <v>0</v>
      </c>
      <c r="J180" s="58">
        <v>3132</v>
      </c>
      <c r="K180" s="20">
        <f>500000-500000</f>
        <v>0</v>
      </c>
      <c r="L180" s="58">
        <v>100</v>
      </c>
      <c r="M180" s="20"/>
      <c r="N180" s="20"/>
      <c r="O180" s="20"/>
      <c r="P180" s="20"/>
      <c r="Q180" s="20"/>
      <c r="R180" s="20"/>
      <c r="S180" s="20"/>
      <c r="T180" s="20">
        <f>300000-300000</f>
        <v>0</v>
      </c>
      <c r="U180" s="20"/>
      <c r="V180" s="20"/>
      <c r="W180" s="20">
        <f>200000-200000</f>
        <v>0</v>
      </c>
      <c r="X180" s="20"/>
      <c r="Y180" s="118">
        <f t="shared" si="27"/>
        <v>0</v>
      </c>
      <c r="Z180" s="24"/>
      <c r="AA180" s="118">
        <f t="shared" si="25"/>
        <v>0</v>
      </c>
      <c r="AB180" s="118"/>
      <c r="AC180" s="24"/>
      <c r="AD180" s="118">
        <f t="shared" si="26"/>
        <v>0</v>
      </c>
    </row>
    <row r="181" spans="1:30" ht="21">
      <c r="A181" s="169"/>
      <c r="B181" s="169"/>
      <c r="C181" s="169"/>
      <c r="D181" s="166"/>
      <c r="E181" s="19" t="s">
        <v>504</v>
      </c>
      <c r="F181" s="96">
        <v>2122</v>
      </c>
      <c r="G181" s="58" t="s">
        <v>201</v>
      </c>
      <c r="H181" s="20">
        <v>1395000</v>
      </c>
      <c r="I181" s="58">
        <v>54</v>
      </c>
      <c r="J181" s="58">
        <v>3132</v>
      </c>
      <c r="K181" s="20">
        <f>643975+50000</f>
        <v>693975</v>
      </c>
      <c r="L181" s="58">
        <v>100</v>
      </c>
      <c r="M181" s="20"/>
      <c r="N181" s="20"/>
      <c r="O181" s="20">
        <f>643975</f>
        <v>643975</v>
      </c>
      <c r="P181" s="20"/>
      <c r="Q181" s="20">
        <f>50000</f>
        <v>50000</v>
      </c>
      <c r="R181" s="20"/>
      <c r="S181" s="20">
        <f>450000-450000+50000-50000</f>
        <v>0</v>
      </c>
      <c r="T181" s="20">
        <f>193975-193975</f>
        <v>0</v>
      </c>
      <c r="U181" s="20"/>
      <c r="V181" s="20"/>
      <c r="W181" s="20"/>
      <c r="X181" s="20"/>
      <c r="Y181" s="118">
        <f t="shared" si="27"/>
        <v>0</v>
      </c>
      <c r="Z181" s="24">
        <f>643975+45976</f>
        <v>689951</v>
      </c>
      <c r="AA181" s="118">
        <f t="shared" si="25"/>
        <v>4024</v>
      </c>
      <c r="AB181" s="118"/>
      <c r="AC181" s="24"/>
      <c r="AD181" s="118">
        <f t="shared" si="26"/>
        <v>4024</v>
      </c>
    </row>
    <row r="182" spans="1:30" ht="21">
      <c r="A182" s="169"/>
      <c r="B182" s="169"/>
      <c r="C182" s="169"/>
      <c r="D182" s="166"/>
      <c r="E182" s="26" t="s">
        <v>517</v>
      </c>
      <c r="F182" s="96">
        <v>2123</v>
      </c>
      <c r="G182" s="58" t="s">
        <v>201</v>
      </c>
      <c r="H182" s="20">
        <v>570000</v>
      </c>
      <c r="I182" s="58">
        <v>62</v>
      </c>
      <c r="J182" s="58">
        <v>3132</v>
      </c>
      <c r="K182" s="20">
        <v>356573</v>
      </c>
      <c r="L182" s="58">
        <v>100</v>
      </c>
      <c r="M182" s="20"/>
      <c r="N182" s="20"/>
      <c r="O182" s="20">
        <f>356573</f>
        <v>356573</v>
      </c>
      <c r="P182" s="20"/>
      <c r="Q182" s="20">
        <f>-353000</f>
        <v>-353000</v>
      </c>
      <c r="R182" s="20"/>
      <c r="S182" s="20"/>
      <c r="T182" s="20">
        <f>176573-176573+203000</f>
        <v>203000</v>
      </c>
      <c r="U182" s="20"/>
      <c r="V182" s="20"/>
      <c r="W182" s="20">
        <f>180000-180000+150000</f>
        <v>150000</v>
      </c>
      <c r="X182" s="20"/>
      <c r="Y182" s="118">
        <f t="shared" si="27"/>
        <v>0</v>
      </c>
      <c r="Z182" s="24">
        <v>3240</v>
      </c>
      <c r="AA182" s="118">
        <f t="shared" si="25"/>
        <v>333</v>
      </c>
      <c r="AB182" s="118"/>
      <c r="AC182" s="24"/>
      <c r="AD182" s="118">
        <f t="shared" si="26"/>
        <v>353333</v>
      </c>
    </row>
    <row r="183" spans="1:30" ht="21">
      <c r="A183" s="169"/>
      <c r="B183" s="169"/>
      <c r="C183" s="169"/>
      <c r="D183" s="166"/>
      <c r="E183" s="19" t="s">
        <v>660</v>
      </c>
      <c r="F183" s="96">
        <v>2124</v>
      </c>
      <c r="G183" s="58">
        <v>2020</v>
      </c>
      <c r="H183" s="20">
        <v>1250000</v>
      </c>
      <c r="I183" s="58">
        <v>0</v>
      </c>
      <c r="J183" s="58">
        <v>3132</v>
      </c>
      <c r="K183" s="20">
        <v>1250000</v>
      </c>
      <c r="L183" s="58">
        <v>100</v>
      </c>
      <c r="M183" s="20"/>
      <c r="N183" s="20"/>
      <c r="O183" s="20"/>
      <c r="P183" s="20"/>
      <c r="Q183" s="20">
        <f>95000</f>
        <v>95000</v>
      </c>
      <c r="R183" s="20"/>
      <c r="S183" s="20"/>
      <c r="T183" s="20">
        <f>650000-95000</f>
        <v>555000</v>
      </c>
      <c r="U183" s="20"/>
      <c r="V183" s="20">
        <v>300000</v>
      </c>
      <c r="W183" s="20">
        <v>300000</v>
      </c>
      <c r="X183" s="20"/>
      <c r="Y183" s="118">
        <f t="shared" si="27"/>
        <v>0</v>
      </c>
      <c r="Z183" s="24">
        <v>87825</v>
      </c>
      <c r="AA183" s="118">
        <f t="shared" si="25"/>
        <v>7175</v>
      </c>
      <c r="AB183" s="118"/>
      <c r="AC183" s="24"/>
      <c r="AD183" s="118">
        <f t="shared" si="26"/>
        <v>1162175</v>
      </c>
    </row>
    <row r="184" spans="1:30" ht="30.75">
      <c r="A184" s="169"/>
      <c r="B184" s="169"/>
      <c r="C184" s="169"/>
      <c r="D184" s="166"/>
      <c r="E184" s="19" t="s">
        <v>552</v>
      </c>
      <c r="F184" s="96">
        <v>2125</v>
      </c>
      <c r="G184" s="58" t="s">
        <v>201</v>
      </c>
      <c r="H184" s="20">
        <v>2700000</v>
      </c>
      <c r="I184" s="58">
        <v>77</v>
      </c>
      <c r="J184" s="58">
        <v>3132</v>
      </c>
      <c r="K184" s="20">
        <v>600000</v>
      </c>
      <c r="L184" s="58">
        <v>100</v>
      </c>
      <c r="M184" s="20"/>
      <c r="N184" s="20"/>
      <c r="O184" s="20">
        <f>50000+174000</f>
        <v>224000</v>
      </c>
      <c r="P184" s="20">
        <f>550000-174000</f>
        <v>376000</v>
      </c>
      <c r="Q184" s="20"/>
      <c r="R184" s="20"/>
      <c r="S184" s="20">
        <f>-190000</f>
        <v>-190000</v>
      </c>
      <c r="T184" s="20"/>
      <c r="U184" s="20">
        <f>40000</f>
        <v>40000</v>
      </c>
      <c r="V184" s="20"/>
      <c r="W184" s="20">
        <f>150000</f>
        <v>150000</v>
      </c>
      <c r="X184" s="20"/>
      <c r="Y184" s="118">
        <f t="shared" si="27"/>
        <v>0</v>
      </c>
      <c r="Z184" s="24">
        <f>223568+9067.6+2191.96</f>
        <v>234827.56</v>
      </c>
      <c r="AA184" s="118">
        <f t="shared" si="25"/>
        <v>175172.44</v>
      </c>
      <c r="AB184" s="118"/>
      <c r="AC184" s="24"/>
      <c r="AD184" s="118">
        <f t="shared" si="26"/>
        <v>365172.44</v>
      </c>
    </row>
    <row r="185" spans="1:30" ht="21">
      <c r="A185" s="169"/>
      <c r="B185" s="169"/>
      <c r="C185" s="169"/>
      <c r="D185" s="166"/>
      <c r="E185" s="19" t="s">
        <v>474</v>
      </c>
      <c r="F185" s="96">
        <v>2126</v>
      </c>
      <c r="G185" s="58">
        <v>2020</v>
      </c>
      <c r="H185" s="20">
        <v>1400000</v>
      </c>
      <c r="I185" s="58">
        <v>0</v>
      </c>
      <c r="J185" s="58">
        <v>3132</v>
      </c>
      <c r="K185" s="20">
        <v>1400000</v>
      </c>
      <c r="L185" s="58">
        <v>100</v>
      </c>
      <c r="M185" s="20"/>
      <c r="N185" s="20"/>
      <c r="O185" s="20"/>
      <c r="P185" s="20"/>
      <c r="Q185" s="20"/>
      <c r="R185" s="20">
        <f>700000</f>
        <v>700000</v>
      </c>
      <c r="S185" s="20"/>
      <c r="T185" s="20"/>
      <c r="U185" s="20">
        <f>700000-700000</f>
        <v>0</v>
      </c>
      <c r="V185" s="20"/>
      <c r="W185" s="20">
        <v>700000</v>
      </c>
      <c r="X185" s="20"/>
      <c r="Y185" s="118">
        <f t="shared" si="27"/>
        <v>0</v>
      </c>
      <c r="Z185" s="24">
        <f>660597.77</f>
        <v>660597.77</v>
      </c>
      <c r="AA185" s="118">
        <f t="shared" si="25"/>
        <v>39402.22999999998</v>
      </c>
      <c r="AB185" s="118"/>
      <c r="AC185" s="24"/>
      <c r="AD185" s="118">
        <f t="shared" si="26"/>
        <v>739402.23</v>
      </c>
    </row>
    <row r="186" spans="1:30" ht="21">
      <c r="A186" s="169"/>
      <c r="B186" s="169"/>
      <c r="C186" s="169"/>
      <c r="D186" s="166"/>
      <c r="E186" s="19" t="s">
        <v>475</v>
      </c>
      <c r="F186" s="96">
        <v>2127</v>
      </c>
      <c r="G186" s="58">
        <v>2020</v>
      </c>
      <c r="H186" s="20">
        <v>400000</v>
      </c>
      <c r="I186" s="58">
        <v>0</v>
      </c>
      <c r="J186" s="58">
        <v>3132</v>
      </c>
      <c r="K186" s="20">
        <v>400000</v>
      </c>
      <c r="L186" s="58">
        <v>100</v>
      </c>
      <c r="M186" s="20"/>
      <c r="N186" s="20"/>
      <c r="O186" s="20"/>
      <c r="P186" s="20"/>
      <c r="Q186" s="20"/>
      <c r="R186" s="20"/>
      <c r="S186" s="20"/>
      <c r="T186" s="20">
        <v>250000</v>
      </c>
      <c r="U186" s="20"/>
      <c r="V186" s="20"/>
      <c r="W186" s="20">
        <v>150000</v>
      </c>
      <c r="X186" s="20"/>
      <c r="Y186" s="118">
        <f t="shared" si="27"/>
        <v>0</v>
      </c>
      <c r="Z186" s="24"/>
      <c r="AA186" s="118">
        <f t="shared" si="25"/>
        <v>0</v>
      </c>
      <c r="AB186" s="118"/>
      <c r="AC186" s="24"/>
      <c r="AD186" s="118">
        <f t="shared" si="26"/>
        <v>400000</v>
      </c>
    </row>
    <row r="187" spans="1:30" ht="30.75" hidden="1">
      <c r="A187" s="169"/>
      <c r="B187" s="169"/>
      <c r="C187" s="169"/>
      <c r="D187" s="166"/>
      <c r="E187" s="19" t="s">
        <v>478</v>
      </c>
      <c r="F187" s="96">
        <v>2128</v>
      </c>
      <c r="G187" s="58">
        <v>2020</v>
      </c>
      <c r="H187" s="20">
        <v>200000</v>
      </c>
      <c r="I187" s="58">
        <v>0</v>
      </c>
      <c r="J187" s="58">
        <v>3132</v>
      </c>
      <c r="K187" s="20">
        <f>200000-200000</f>
        <v>0</v>
      </c>
      <c r="L187" s="58">
        <v>100</v>
      </c>
      <c r="M187" s="20"/>
      <c r="N187" s="20"/>
      <c r="O187" s="20"/>
      <c r="P187" s="20"/>
      <c r="Q187" s="20"/>
      <c r="R187" s="20"/>
      <c r="S187" s="20"/>
      <c r="T187" s="20"/>
      <c r="U187" s="20"/>
      <c r="V187" s="20">
        <f>200000-200000</f>
        <v>0</v>
      </c>
      <c r="W187" s="20"/>
      <c r="X187" s="20"/>
      <c r="Y187" s="118">
        <f t="shared" si="27"/>
        <v>0</v>
      </c>
      <c r="Z187" s="24"/>
      <c r="AA187" s="118">
        <f t="shared" si="25"/>
        <v>0</v>
      </c>
      <c r="AB187" s="118"/>
      <c r="AC187" s="24"/>
      <c r="AD187" s="118">
        <f t="shared" si="26"/>
        <v>0</v>
      </c>
    </row>
    <row r="188" spans="1:30" ht="30.75">
      <c r="A188" s="169"/>
      <c r="B188" s="169"/>
      <c r="C188" s="169"/>
      <c r="D188" s="166"/>
      <c r="E188" s="19" t="s">
        <v>479</v>
      </c>
      <c r="F188" s="96">
        <v>2129</v>
      </c>
      <c r="G188" s="58">
        <v>2020</v>
      </c>
      <c r="H188" s="20">
        <v>500000</v>
      </c>
      <c r="I188" s="58">
        <v>0</v>
      </c>
      <c r="J188" s="58">
        <v>3132</v>
      </c>
      <c r="K188" s="20">
        <v>500000</v>
      </c>
      <c r="L188" s="58">
        <v>100</v>
      </c>
      <c r="M188" s="20"/>
      <c r="N188" s="20"/>
      <c r="O188" s="20"/>
      <c r="P188" s="20"/>
      <c r="Q188" s="20"/>
      <c r="R188" s="20"/>
      <c r="S188" s="20"/>
      <c r="T188" s="20"/>
      <c r="U188" s="20">
        <v>300000</v>
      </c>
      <c r="V188" s="20"/>
      <c r="W188" s="20">
        <v>200000</v>
      </c>
      <c r="X188" s="20"/>
      <c r="Y188" s="118">
        <f t="shared" si="27"/>
        <v>0</v>
      </c>
      <c r="Z188" s="24"/>
      <c r="AA188" s="118">
        <f t="shared" si="25"/>
        <v>0</v>
      </c>
      <c r="AB188" s="118"/>
      <c r="AC188" s="24"/>
      <c r="AD188" s="118">
        <f t="shared" si="26"/>
        <v>500000</v>
      </c>
    </row>
    <row r="189" spans="1:30" ht="21" hidden="1">
      <c r="A189" s="169"/>
      <c r="B189" s="169"/>
      <c r="C189" s="169"/>
      <c r="D189" s="166"/>
      <c r="E189" s="19" t="s">
        <v>505</v>
      </c>
      <c r="F189" s="96">
        <v>2130</v>
      </c>
      <c r="G189" s="58">
        <v>2020</v>
      </c>
      <c r="H189" s="20">
        <v>580000</v>
      </c>
      <c r="I189" s="58">
        <v>0</v>
      </c>
      <c r="J189" s="58">
        <v>3132</v>
      </c>
      <c r="K189" s="20">
        <f>580000-580000</f>
        <v>0</v>
      </c>
      <c r="L189" s="58">
        <v>100</v>
      </c>
      <c r="M189" s="20"/>
      <c r="N189" s="20"/>
      <c r="O189" s="20">
        <f>580000-580000</f>
        <v>0</v>
      </c>
      <c r="P189" s="20"/>
      <c r="Q189" s="20"/>
      <c r="R189" s="20"/>
      <c r="S189" s="20">
        <f>580000-580000</f>
        <v>0</v>
      </c>
      <c r="T189" s="20"/>
      <c r="U189" s="20">
        <f>380000-380000</f>
        <v>0</v>
      </c>
      <c r="V189" s="20"/>
      <c r="W189" s="20">
        <f>200000-200000</f>
        <v>0</v>
      </c>
      <c r="X189" s="20"/>
      <c r="Y189" s="118">
        <f t="shared" si="27"/>
        <v>0</v>
      </c>
      <c r="Z189" s="24"/>
      <c r="AA189" s="118">
        <f t="shared" si="25"/>
        <v>0</v>
      </c>
      <c r="AB189" s="118"/>
      <c r="AC189" s="24"/>
      <c r="AD189" s="118">
        <f t="shared" si="26"/>
        <v>0</v>
      </c>
    </row>
    <row r="190" spans="1:30" s="22" customFormat="1" ht="21">
      <c r="A190" s="169"/>
      <c r="B190" s="169"/>
      <c r="C190" s="169"/>
      <c r="D190" s="166"/>
      <c r="E190" s="19" t="s">
        <v>506</v>
      </c>
      <c r="F190" s="96">
        <v>2131</v>
      </c>
      <c r="G190" s="58" t="s">
        <v>201</v>
      </c>
      <c r="H190" s="20">
        <v>398400</v>
      </c>
      <c r="I190" s="58">
        <v>50</v>
      </c>
      <c r="J190" s="58">
        <v>3132</v>
      </c>
      <c r="K190" s="20">
        <v>198285.04</v>
      </c>
      <c r="L190" s="58">
        <v>100</v>
      </c>
      <c r="M190" s="20"/>
      <c r="N190" s="20"/>
      <c r="O190" s="20">
        <f>198285.04</f>
        <v>198285.04</v>
      </c>
      <c r="P190" s="20"/>
      <c r="Q190" s="20"/>
      <c r="R190" s="20">
        <f>-43000</f>
        <v>-43000</v>
      </c>
      <c r="S190" s="20">
        <f>198285.04-198285.04</f>
        <v>0</v>
      </c>
      <c r="T190" s="20"/>
      <c r="U190" s="20"/>
      <c r="V190" s="20">
        <f>43000</f>
        <v>43000</v>
      </c>
      <c r="W190" s="20"/>
      <c r="X190" s="20"/>
      <c r="Y190" s="118">
        <f t="shared" si="27"/>
        <v>0</v>
      </c>
      <c r="Z190" s="24">
        <v>155124.92</v>
      </c>
      <c r="AA190" s="118">
        <f t="shared" si="25"/>
        <v>160.11999999999534</v>
      </c>
      <c r="AB190" s="118"/>
      <c r="AC190" s="24">
        <v>-43160</v>
      </c>
      <c r="AD190" s="118">
        <f t="shared" si="26"/>
        <v>0.11999999999534339</v>
      </c>
    </row>
    <row r="191" spans="1:30" s="22" customFormat="1" ht="21" hidden="1">
      <c r="A191" s="169"/>
      <c r="B191" s="169"/>
      <c r="C191" s="169"/>
      <c r="D191" s="166"/>
      <c r="E191" s="19" t="s">
        <v>530</v>
      </c>
      <c r="F191" s="96">
        <v>2132</v>
      </c>
      <c r="G191" s="58">
        <v>2020</v>
      </c>
      <c r="H191" s="20">
        <v>800000</v>
      </c>
      <c r="I191" s="58">
        <v>0</v>
      </c>
      <c r="J191" s="58">
        <v>3132</v>
      </c>
      <c r="K191" s="20">
        <f>800000-800000</f>
        <v>0</v>
      </c>
      <c r="L191" s="58">
        <v>100</v>
      </c>
      <c r="M191" s="20"/>
      <c r="N191" s="20"/>
      <c r="O191" s="20"/>
      <c r="P191" s="20"/>
      <c r="Q191" s="20"/>
      <c r="R191" s="20"/>
      <c r="S191" s="20"/>
      <c r="T191" s="20">
        <f>450000-450000</f>
        <v>0</v>
      </c>
      <c r="U191" s="20"/>
      <c r="V191" s="20">
        <f>200000-200000</f>
        <v>0</v>
      </c>
      <c r="W191" s="20">
        <f>150000-150000</f>
        <v>0</v>
      </c>
      <c r="X191" s="20"/>
      <c r="Y191" s="118">
        <f t="shared" si="27"/>
        <v>0</v>
      </c>
      <c r="Z191" s="24"/>
      <c r="AA191" s="118">
        <f t="shared" si="25"/>
        <v>0</v>
      </c>
      <c r="AB191" s="118"/>
      <c r="AC191" s="24"/>
      <c r="AD191" s="118">
        <f>K191-Z191+AC191-AB191</f>
        <v>0</v>
      </c>
    </row>
    <row r="192" spans="1:30" s="22" customFormat="1" ht="30.75">
      <c r="A192" s="169"/>
      <c r="B192" s="169"/>
      <c r="C192" s="169"/>
      <c r="D192" s="166"/>
      <c r="E192" s="19" t="s">
        <v>900</v>
      </c>
      <c r="F192" s="96">
        <v>2624</v>
      </c>
      <c r="G192" s="58"/>
      <c r="H192" s="20"/>
      <c r="I192" s="58"/>
      <c r="J192" s="58">
        <v>3132</v>
      </c>
      <c r="K192" s="20">
        <v>580000</v>
      </c>
      <c r="L192" s="58"/>
      <c r="M192" s="20"/>
      <c r="N192" s="20"/>
      <c r="O192" s="20"/>
      <c r="P192" s="20"/>
      <c r="Q192" s="20">
        <f>580000</f>
        <v>580000</v>
      </c>
      <c r="R192" s="20">
        <v>-81000</v>
      </c>
      <c r="S192" s="20">
        <f>580000-580000</f>
        <v>0</v>
      </c>
      <c r="T192" s="20"/>
      <c r="U192" s="20"/>
      <c r="V192" s="20">
        <f>81000</f>
        <v>81000</v>
      </c>
      <c r="W192" s="20"/>
      <c r="X192" s="20"/>
      <c r="Y192" s="118">
        <f t="shared" si="27"/>
        <v>0</v>
      </c>
      <c r="Z192" s="24">
        <f>494879</f>
        <v>494879</v>
      </c>
      <c r="AA192" s="118">
        <f t="shared" si="25"/>
        <v>4121</v>
      </c>
      <c r="AB192" s="118"/>
      <c r="AC192" s="24">
        <v>-85121</v>
      </c>
      <c r="AD192" s="118">
        <f>K192-Z192+AC192-AB192</f>
        <v>0</v>
      </c>
    </row>
    <row r="193" spans="1:30" s="22" customFormat="1" ht="21">
      <c r="A193" s="169"/>
      <c r="B193" s="169"/>
      <c r="C193" s="169"/>
      <c r="D193" s="166"/>
      <c r="E193" s="19" t="s">
        <v>816</v>
      </c>
      <c r="F193" s="96">
        <v>2580</v>
      </c>
      <c r="G193" s="58"/>
      <c r="H193" s="20"/>
      <c r="I193" s="58"/>
      <c r="J193" s="58">
        <v>3132</v>
      </c>
      <c r="K193" s="20">
        <f>41709.9</f>
        <v>41709.9</v>
      </c>
      <c r="L193" s="58"/>
      <c r="M193" s="20"/>
      <c r="N193" s="20">
        <f>8000</f>
        <v>8000</v>
      </c>
      <c r="O193" s="20"/>
      <c r="P193" s="20">
        <f>10000</f>
        <v>10000</v>
      </c>
      <c r="Q193" s="20">
        <f>23709.9</f>
        <v>23709.9</v>
      </c>
      <c r="R193" s="20"/>
      <c r="S193" s="20"/>
      <c r="T193" s="20"/>
      <c r="U193" s="20"/>
      <c r="V193" s="20"/>
      <c r="W193" s="20"/>
      <c r="X193" s="20"/>
      <c r="Y193" s="118">
        <f t="shared" si="27"/>
        <v>0</v>
      </c>
      <c r="Z193" s="24">
        <v>41709.9</v>
      </c>
      <c r="AA193" s="118">
        <f t="shared" si="25"/>
        <v>0</v>
      </c>
      <c r="AB193" s="118"/>
      <c r="AC193" s="24"/>
      <c r="AD193" s="118">
        <f t="shared" si="26"/>
        <v>0</v>
      </c>
    </row>
    <row r="194" spans="1:30" s="22" customFormat="1" ht="21">
      <c r="A194" s="169"/>
      <c r="B194" s="169"/>
      <c r="C194" s="169"/>
      <c r="D194" s="166"/>
      <c r="E194" s="19" t="s">
        <v>535</v>
      </c>
      <c r="F194" s="96">
        <v>2133</v>
      </c>
      <c r="G194" s="58">
        <v>2020</v>
      </c>
      <c r="H194" s="20">
        <v>500000</v>
      </c>
      <c r="I194" s="58">
        <v>0</v>
      </c>
      <c r="J194" s="58">
        <v>3132</v>
      </c>
      <c r="K194" s="20">
        <f>500000+90000</f>
        <v>590000</v>
      </c>
      <c r="L194" s="58">
        <v>100</v>
      </c>
      <c r="M194" s="20"/>
      <c r="N194" s="20"/>
      <c r="O194" s="20">
        <f>590000-590000</f>
        <v>0</v>
      </c>
      <c r="P194" s="20">
        <v>590000</v>
      </c>
      <c r="Q194" s="20"/>
      <c r="R194" s="20"/>
      <c r="S194" s="20">
        <f>250000-250000+590000-590000</f>
        <v>0</v>
      </c>
      <c r="T194" s="20"/>
      <c r="U194" s="20">
        <f>250000-250000</f>
        <v>0</v>
      </c>
      <c r="V194" s="20">
        <f>90000-90000</f>
        <v>0</v>
      </c>
      <c r="W194" s="20"/>
      <c r="X194" s="20"/>
      <c r="Y194" s="118">
        <f t="shared" si="27"/>
        <v>0</v>
      </c>
      <c r="Z194" s="24">
        <f>576682</f>
        <v>576682</v>
      </c>
      <c r="AA194" s="118">
        <f t="shared" si="25"/>
        <v>13318</v>
      </c>
      <c r="AB194" s="118"/>
      <c r="AC194" s="24"/>
      <c r="AD194" s="118">
        <f t="shared" si="26"/>
        <v>13318</v>
      </c>
    </row>
    <row r="195" spans="1:30" s="22" customFormat="1" ht="21">
      <c r="A195" s="169"/>
      <c r="B195" s="169"/>
      <c r="C195" s="169"/>
      <c r="D195" s="166"/>
      <c r="E195" s="19" t="s">
        <v>540</v>
      </c>
      <c r="F195" s="96">
        <v>2134</v>
      </c>
      <c r="G195" s="58">
        <v>2020</v>
      </c>
      <c r="H195" s="20">
        <v>800000</v>
      </c>
      <c r="I195" s="58">
        <v>0</v>
      </c>
      <c r="J195" s="58">
        <v>3132</v>
      </c>
      <c r="K195" s="20">
        <v>800000</v>
      </c>
      <c r="L195" s="58">
        <v>100</v>
      </c>
      <c r="M195" s="20"/>
      <c r="N195" s="20"/>
      <c r="O195" s="20">
        <f>400000</f>
        <v>400000</v>
      </c>
      <c r="P195" s="20">
        <f>400000-400000</f>
        <v>0</v>
      </c>
      <c r="Q195" s="20"/>
      <c r="R195" s="20"/>
      <c r="S195" s="20"/>
      <c r="T195" s="20"/>
      <c r="U195" s="20"/>
      <c r="V195" s="20">
        <v>200000</v>
      </c>
      <c r="W195" s="20">
        <v>200000</v>
      </c>
      <c r="X195" s="20"/>
      <c r="Y195" s="118">
        <f t="shared" si="27"/>
        <v>0</v>
      </c>
      <c r="Z195" s="24">
        <f>370709.4</f>
        <v>370709.4</v>
      </c>
      <c r="AA195" s="118">
        <f t="shared" si="25"/>
        <v>29290.599999999977</v>
      </c>
      <c r="AB195" s="118"/>
      <c r="AC195" s="24"/>
      <c r="AD195" s="118">
        <f t="shared" si="26"/>
        <v>429290.6</v>
      </c>
    </row>
    <row r="196" spans="1:30" s="22" customFormat="1" ht="30.75">
      <c r="A196" s="169"/>
      <c r="B196" s="169"/>
      <c r="C196" s="169"/>
      <c r="D196" s="166"/>
      <c r="E196" s="19" t="s">
        <v>701</v>
      </c>
      <c r="F196" s="96">
        <v>2135</v>
      </c>
      <c r="G196" s="58">
        <v>2020</v>
      </c>
      <c r="H196" s="20">
        <v>402000</v>
      </c>
      <c r="I196" s="58">
        <v>0</v>
      </c>
      <c r="J196" s="58">
        <v>3132</v>
      </c>
      <c r="K196" s="20">
        <v>402000</v>
      </c>
      <c r="L196" s="58">
        <v>100</v>
      </c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>
        <v>400000</v>
      </c>
      <c r="X196" s="20">
        <v>2000</v>
      </c>
      <c r="Y196" s="118">
        <f t="shared" si="27"/>
        <v>0</v>
      </c>
      <c r="Z196" s="24"/>
      <c r="AA196" s="118">
        <f t="shared" si="25"/>
        <v>0</v>
      </c>
      <c r="AB196" s="118"/>
      <c r="AC196" s="24"/>
      <c r="AD196" s="118">
        <f t="shared" si="26"/>
        <v>402000</v>
      </c>
    </row>
    <row r="197" spans="1:30" s="22" customFormat="1" ht="21">
      <c r="A197" s="169"/>
      <c r="B197" s="169"/>
      <c r="C197" s="169"/>
      <c r="D197" s="166"/>
      <c r="E197" s="19" t="s">
        <v>541</v>
      </c>
      <c r="F197" s="96">
        <v>2136</v>
      </c>
      <c r="G197" s="58" t="s">
        <v>201</v>
      </c>
      <c r="H197" s="20">
        <v>988916</v>
      </c>
      <c r="I197" s="58">
        <v>98</v>
      </c>
      <c r="J197" s="58">
        <v>3132</v>
      </c>
      <c r="K197" s="20">
        <v>22229.58</v>
      </c>
      <c r="L197" s="58">
        <v>100</v>
      </c>
      <c r="M197" s="20"/>
      <c r="N197" s="20"/>
      <c r="O197" s="20"/>
      <c r="P197" s="20"/>
      <c r="Q197" s="20"/>
      <c r="R197" s="20"/>
      <c r="S197" s="20"/>
      <c r="T197" s="20"/>
      <c r="U197" s="20"/>
      <c r="V197" s="20">
        <v>22229.58</v>
      </c>
      <c r="W197" s="20"/>
      <c r="X197" s="20"/>
      <c r="Y197" s="118">
        <f t="shared" si="27"/>
        <v>0</v>
      </c>
      <c r="Z197" s="24"/>
      <c r="AA197" s="118">
        <f t="shared" si="25"/>
        <v>0</v>
      </c>
      <c r="AB197" s="118"/>
      <c r="AC197" s="24"/>
      <c r="AD197" s="118">
        <f t="shared" si="26"/>
        <v>22229.58</v>
      </c>
    </row>
    <row r="198" spans="1:30" s="22" customFormat="1" ht="46.5" customHeight="1">
      <c r="A198" s="169"/>
      <c r="B198" s="169"/>
      <c r="C198" s="169"/>
      <c r="D198" s="166"/>
      <c r="E198" s="19" t="s">
        <v>713</v>
      </c>
      <c r="F198" s="96">
        <v>2137</v>
      </c>
      <c r="G198" s="58">
        <v>2020</v>
      </c>
      <c r="H198" s="20">
        <v>250000</v>
      </c>
      <c r="I198" s="58">
        <v>0</v>
      </c>
      <c r="J198" s="58">
        <v>3132</v>
      </c>
      <c r="K198" s="20">
        <v>250000</v>
      </c>
      <c r="L198" s="58">
        <v>100</v>
      </c>
      <c r="M198" s="20"/>
      <c r="N198" s="20"/>
      <c r="O198" s="20"/>
      <c r="P198" s="20"/>
      <c r="Q198" s="20"/>
      <c r="R198" s="20"/>
      <c r="S198" s="20"/>
      <c r="T198" s="20"/>
      <c r="U198" s="20">
        <v>150000</v>
      </c>
      <c r="V198" s="20"/>
      <c r="W198" s="20">
        <v>100000</v>
      </c>
      <c r="X198" s="20"/>
      <c r="Y198" s="118">
        <f t="shared" si="27"/>
        <v>0</v>
      </c>
      <c r="Z198" s="24"/>
      <c r="AA198" s="118">
        <f t="shared" si="25"/>
        <v>0</v>
      </c>
      <c r="AB198" s="118"/>
      <c r="AC198" s="24"/>
      <c r="AD198" s="118">
        <f t="shared" si="26"/>
        <v>250000</v>
      </c>
    </row>
    <row r="199" spans="1:30" s="22" customFormat="1" ht="21">
      <c r="A199" s="169"/>
      <c r="B199" s="169"/>
      <c r="C199" s="169"/>
      <c r="D199" s="166"/>
      <c r="E199" s="19" t="s">
        <v>882</v>
      </c>
      <c r="F199" s="96">
        <v>2610</v>
      </c>
      <c r="G199" s="58"/>
      <c r="H199" s="20"/>
      <c r="I199" s="58"/>
      <c r="J199" s="58">
        <v>3132</v>
      </c>
      <c r="K199" s="20">
        <v>800000</v>
      </c>
      <c r="L199" s="58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>
        <v>800000</v>
      </c>
      <c r="Y199" s="118">
        <f>K199-M199-N199-O199-P199-Q199-R199-S199-T199-U199-V199-W199-X199</f>
        <v>0</v>
      </c>
      <c r="Z199" s="24"/>
      <c r="AA199" s="118">
        <f t="shared" si="25"/>
        <v>0</v>
      </c>
      <c r="AB199" s="118"/>
      <c r="AC199" s="24">
        <v>-800000</v>
      </c>
      <c r="AD199" s="118">
        <f t="shared" si="26"/>
        <v>0</v>
      </c>
    </row>
    <row r="200" spans="1:30" s="22" customFormat="1" ht="21" hidden="1">
      <c r="A200" s="169"/>
      <c r="B200" s="169"/>
      <c r="C200" s="169"/>
      <c r="D200" s="166"/>
      <c r="E200" s="19" t="s">
        <v>531</v>
      </c>
      <c r="F200" s="96">
        <v>2138</v>
      </c>
      <c r="G200" s="58">
        <v>2020</v>
      </c>
      <c r="H200" s="20">
        <v>1200000</v>
      </c>
      <c r="I200" s="58">
        <v>0</v>
      </c>
      <c r="J200" s="58">
        <v>3132</v>
      </c>
      <c r="K200" s="20">
        <f>1200000-1200000</f>
        <v>0</v>
      </c>
      <c r="L200" s="58">
        <v>100</v>
      </c>
      <c r="M200" s="20"/>
      <c r="N200" s="20"/>
      <c r="O200" s="20"/>
      <c r="P200" s="20"/>
      <c r="Q200" s="20"/>
      <c r="R200" s="20"/>
      <c r="S200" s="20"/>
      <c r="T200" s="20">
        <f>700000-700000</f>
        <v>0</v>
      </c>
      <c r="U200" s="20"/>
      <c r="V200" s="20">
        <f>300000-300000</f>
        <v>0</v>
      </c>
      <c r="W200" s="20">
        <f>200000-200000</f>
        <v>0</v>
      </c>
      <c r="X200" s="20"/>
      <c r="Y200" s="118">
        <f t="shared" si="27"/>
        <v>0</v>
      </c>
      <c r="Z200" s="24"/>
      <c r="AA200" s="118">
        <f t="shared" si="25"/>
        <v>0</v>
      </c>
      <c r="AB200" s="118"/>
      <c r="AC200" s="24"/>
      <c r="AD200" s="118">
        <f t="shared" si="26"/>
        <v>0</v>
      </c>
    </row>
    <row r="201" spans="1:30" s="22" customFormat="1" ht="21" hidden="1">
      <c r="A201" s="169"/>
      <c r="B201" s="169"/>
      <c r="C201" s="169"/>
      <c r="D201" s="166"/>
      <c r="E201" s="19" t="s">
        <v>532</v>
      </c>
      <c r="F201" s="96">
        <v>2139</v>
      </c>
      <c r="G201" s="58">
        <v>2020</v>
      </c>
      <c r="H201" s="20">
        <v>400000</v>
      </c>
      <c r="I201" s="58">
        <v>0</v>
      </c>
      <c r="J201" s="58">
        <v>3132</v>
      </c>
      <c r="K201" s="20">
        <f>400000-400000</f>
        <v>0</v>
      </c>
      <c r="L201" s="58">
        <v>100</v>
      </c>
      <c r="M201" s="20"/>
      <c r="N201" s="20"/>
      <c r="O201" s="20"/>
      <c r="P201" s="20"/>
      <c r="Q201" s="20"/>
      <c r="R201" s="20"/>
      <c r="S201" s="20"/>
      <c r="T201" s="20">
        <f>250000-250000</f>
        <v>0</v>
      </c>
      <c r="U201" s="20"/>
      <c r="V201" s="20"/>
      <c r="W201" s="20">
        <f>150000-150000</f>
        <v>0</v>
      </c>
      <c r="X201" s="20"/>
      <c r="Y201" s="118">
        <f t="shared" si="27"/>
        <v>0</v>
      </c>
      <c r="Z201" s="24"/>
      <c r="AA201" s="118">
        <f t="shared" si="25"/>
        <v>0</v>
      </c>
      <c r="AB201" s="118"/>
      <c r="AC201" s="24"/>
      <c r="AD201" s="118">
        <f t="shared" si="26"/>
        <v>0</v>
      </c>
    </row>
    <row r="202" spans="1:30" ht="30.75" hidden="1">
      <c r="A202" s="169"/>
      <c r="B202" s="169"/>
      <c r="C202" s="169"/>
      <c r="D202" s="166"/>
      <c r="E202" s="19" t="s">
        <v>533</v>
      </c>
      <c r="F202" s="96">
        <v>2140</v>
      </c>
      <c r="G202" s="58">
        <v>2020</v>
      </c>
      <c r="H202" s="20">
        <v>300000</v>
      </c>
      <c r="I202" s="58">
        <v>0</v>
      </c>
      <c r="J202" s="58">
        <v>3132</v>
      </c>
      <c r="K202" s="20">
        <f>300000-300000</f>
        <v>0</v>
      </c>
      <c r="L202" s="58">
        <v>100</v>
      </c>
      <c r="M202" s="20"/>
      <c r="N202" s="20"/>
      <c r="O202" s="20"/>
      <c r="P202" s="20"/>
      <c r="Q202" s="20"/>
      <c r="R202" s="20"/>
      <c r="S202" s="20"/>
      <c r="T202" s="20">
        <f>150000-150000</f>
        <v>0</v>
      </c>
      <c r="U202" s="20"/>
      <c r="V202" s="20"/>
      <c r="W202" s="20">
        <f>150000-150000</f>
        <v>0</v>
      </c>
      <c r="X202" s="20"/>
      <c r="Y202" s="118">
        <f t="shared" si="27"/>
        <v>0</v>
      </c>
      <c r="Z202" s="24"/>
      <c r="AA202" s="118">
        <f t="shared" si="25"/>
        <v>0</v>
      </c>
      <c r="AB202" s="118"/>
      <c r="AC202" s="24"/>
      <c r="AD202" s="118">
        <f t="shared" si="26"/>
        <v>0</v>
      </c>
    </row>
    <row r="203" spans="1:30" ht="30.75" hidden="1">
      <c r="A203" s="169"/>
      <c r="B203" s="169"/>
      <c r="C203" s="169"/>
      <c r="D203" s="166"/>
      <c r="E203" s="19" t="s">
        <v>534</v>
      </c>
      <c r="F203" s="96">
        <v>2141</v>
      </c>
      <c r="G203" s="58">
        <v>2020</v>
      </c>
      <c r="H203" s="20">
        <v>250000</v>
      </c>
      <c r="I203" s="58">
        <v>0</v>
      </c>
      <c r="J203" s="58">
        <v>3132</v>
      </c>
      <c r="K203" s="20">
        <f>250000-250000</f>
        <v>0</v>
      </c>
      <c r="L203" s="58">
        <v>100</v>
      </c>
      <c r="M203" s="20"/>
      <c r="N203" s="20"/>
      <c r="O203" s="20"/>
      <c r="P203" s="20"/>
      <c r="Q203" s="20"/>
      <c r="R203" s="20"/>
      <c r="S203" s="20"/>
      <c r="T203" s="20"/>
      <c r="U203" s="20">
        <f>130000-130000</f>
        <v>0</v>
      </c>
      <c r="V203" s="20"/>
      <c r="W203" s="20">
        <f>120000-120000</f>
        <v>0</v>
      </c>
      <c r="X203" s="20"/>
      <c r="Y203" s="118">
        <f t="shared" si="27"/>
        <v>0</v>
      </c>
      <c r="Z203" s="24"/>
      <c r="AA203" s="118">
        <f t="shared" si="25"/>
        <v>0</v>
      </c>
      <c r="AB203" s="118"/>
      <c r="AC203" s="24"/>
      <c r="AD203" s="118">
        <f t="shared" si="26"/>
        <v>0</v>
      </c>
    </row>
    <row r="204" spans="1:30" ht="30.75">
      <c r="A204" s="169"/>
      <c r="B204" s="169"/>
      <c r="C204" s="169"/>
      <c r="D204" s="166"/>
      <c r="E204" s="26" t="s">
        <v>545</v>
      </c>
      <c r="F204" s="96">
        <v>2142</v>
      </c>
      <c r="G204" s="58">
        <v>2020</v>
      </c>
      <c r="H204" s="20">
        <v>600000</v>
      </c>
      <c r="I204" s="58">
        <v>0</v>
      </c>
      <c r="J204" s="58">
        <v>3132</v>
      </c>
      <c r="K204" s="20">
        <v>600000</v>
      </c>
      <c r="L204" s="58">
        <v>100</v>
      </c>
      <c r="M204" s="20"/>
      <c r="N204" s="20"/>
      <c r="O204" s="20">
        <f>600000</f>
        <v>600000</v>
      </c>
      <c r="P204" s="20"/>
      <c r="Q204" s="20"/>
      <c r="R204" s="20"/>
      <c r="S204" s="20">
        <f>300000-300000</f>
        <v>0</v>
      </c>
      <c r="T204" s="20"/>
      <c r="U204" s="20">
        <f>150000-150000</f>
        <v>0</v>
      </c>
      <c r="V204" s="20">
        <f>150000-150000</f>
        <v>0</v>
      </c>
      <c r="W204" s="20"/>
      <c r="X204" s="20"/>
      <c r="Y204" s="118">
        <f t="shared" si="27"/>
        <v>0</v>
      </c>
      <c r="Z204" s="24">
        <f>597777.26+1045.41</f>
        <v>598822.67</v>
      </c>
      <c r="AA204" s="118">
        <f t="shared" si="25"/>
        <v>1177.329999999958</v>
      </c>
      <c r="AB204" s="118"/>
      <c r="AC204" s="24"/>
      <c r="AD204" s="118">
        <f t="shared" si="26"/>
        <v>1177.329999999958</v>
      </c>
    </row>
    <row r="205" spans="1:30" ht="30.75">
      <c r="A205" s="169"/>
      <c r="B205" s="169"/>
      <c r="C205" s="169"/>
      <c r="D205" s="166"/>
      <c r="E205" s="26" t="s">
        <v>546</v>
      </c>
      <c r="F205" s="96">
        <v>2143</v>
      </c>
      <c r="G205" s="58">
        <v>2020</v>
      </c>
      <c r="H205" s="20">
        <v>200000</v>
      </c>
      <c r="I205" s="58">
        <v>0</v>
      </c>
      <c r="J205" s="58">
        <v>3132</v>
      </c>
      <c r="K205" s="20">
        <v>200000</v>
      </c>
      <c r="L205" s="58">
        <v>100</v>
      </c>
      <c r="M205" s="20"/>
      <c r="N205" s="20"/>
      <c r="O205" s="20"/>
      <c r="P205" s="20"/>
      <c r="Q205" s="20"/>
      <c r="R205" s="20"/>
      <c r="S205" s="20"/>
      <c r="T205" s="20">
        <v>100000</v>
      </c>
      <c r="U205" s="20"/>
      <c r="V205" s="20">
        <v>100000</v>
      </c>
      <c r="W205" s="20"/>
      <c r="X205" s="20"/>
      <c r="Y205" s="118">
        <f t="shared" si="27"/>
        <v>0</v>
      </c>
      <c r="Z205" s="24"/>
      <c r="AA205" s="118">
        <f t="shared" si="25"/>
        <v>0</v>
      </c>
      <c r="AB205" s="118"/>
      <c r="AC205" s="24"/>
      <c r="AD205" s="118">
        <f t="shared" si="26"/>
        <v>200000</v>
      </c>
    </row>
    <row r="206" spans="1:30" ht="21">
      <c r="A206" s="169"/>
      <c r="B206" s="169"/>
      <c r="C206" s="169"/>
      <c r="D206" s="166"/>
      <c r="E206" s="19" t="s">
        <v>538</v>
      </c>
      <c r="F206" s="96">
        <v>2144</v>
      </c>
      <c r="G206" s="58">
        <v>2020</v>
      </c>
      <c r="H206" s="20">
        <v>40000</v>
      </c>
      <c r="I206" s="58">
        <v>0</v>
      </c>
      <c r="J206" s="58">
        <v>3132</v>
      </c>
      <c r="K206" s="20">
        <f>40000-40000+76756</f>
        <v>76756</v>
      </c>
      <c r="L206" s="58">
        <v>100</v>
      </c>
      <c r="M206" s="20"/>
      <c r="N206" s="20"/>
      <c r="O206" s="20"/>
      <c r="P206" s="20">
        <v>76756</v>
      </c>
      <c r="Q206" s="20"/>
      <c r="R206" s="20"/>
      <c r="S206" s="20">
        <f>40000-40000</f>
        <v>0</v>
      </c>
      <c r="T206" s="20"/>
      <c r="U206" s="20"/>
      <c r="V206" s="20"/>
      <c r="W206" s="20"/>
      <c r="X206" s="20"/>
      <c r="Y206" s="118">
        <f t="shared" si="27"/>
        <v>0</v>
      </c>
      <c r="Z206" s="24">
        <v>74601</v>
      </c>
      <c r="AA206" s="118">
        <f t="shared" si="25"/>
        <v>2155</v>
      </c>
      <c r="AB206" s="118"/>
      <c r="AC206" s="24"/>
      <c r="AD206" s="118">
        <f t="shared" si="26"/>
        <v>2155</v>
      </c>
    </row>
    <row r="207" spans="1:30" ht="21" hidden="1">
      <c r="A207" s="169"/>
      <c r="B207" s="169"/>
      <c r="C207" s="169"/>
      <c r="D207" s="166"/>
      <c r="E207" s="19" t="s">
        <v>539</v>
      </c>
      <c r="F207" s="96">
        <v>2145</v>
      </c>
      <c r="G207" s="58" t="s">
        <v>201</v>
      </c>
      <c r="H207" s="20">
        <v>450000</v>
      </c>
      <c r="I207" s="58">
        <v>92</v>
      </c>
      <c r="J207" s="58">
        <v>3132</v>
      </c>
      <c r="K207" s="20">
        <f>36756-36756</f>
        <v>0</v>
      </c>
      <c r="L207" s="58">
        <v>100</v>
      </c>
      <c r="M207" s="20"/>
      <c r="N207" s="20"/>
      <c r="O207" s="20">
        <f>36756</f>
        <v>36756</v>
      </c>
      <c r="P207" s="20">
        <v>-36756</v>
      </c>
      <c r="Q207" s="20"/>
      <c r="R207" s="20"/>
      <c r="S207" s="20"/>
      <c r="T207" s="20"/>
      <c r="U207" s="20"/>
      <c r="V207" s="20"/>
      <c r="W207" s="20">
        <f>36756-36756</f>
        <v>0</v>
      </c>
      <c r="X207" s="20"/>
      <c r="Y207" s="118">
        <f t="shared" si="27"/>
        <v>0</v>
      </c>
      <c r="Z207" s="24"/>
      <c r="AA207" s="118">
        <f t="shared" si="25"/>
        <v>0</v>
      </c>
      <c r="AB207" s="118"/>
      <c r="AC207" s="24"/>
      <c r="AD207" s="118">
        <f t="shared" si="26"/>
        <v>0</v>
      </c>
    </row>
    <row r="208" spans="1:30" ht="21" hidden="1">
      <c r="A208" s="169"/>
      <c r="B208" s="169"/>
      <c r="C208" s="169"/>
      <c r="D208" s="166"/>
      <c r="E208" s="19" t="s">
        <v>528</v>
      </c>
      <c r="F208" s="96">
        <v>2146</v>
      </c>
      <c r="G208" s="58">
        <v>2020</v>
      </c>
      <c r="H208" s="20">
        <v>1500000</v>
      </c>
      <c r="I208" s="58">
        <v>0</v>
      </c>
      <c r="J208" s="58">
        <v>3132</v>
      </c>
      <c r="K208" s="20">
        <f>1500000-1460000-40000</f>
        <v>0</v>
      </c>
      <c r="L208" s="58">
        <v>100</v>
      </c>
      <c r="M208" s="20"/>
      <c r="N208" s="20"/>
      <c r="O208" s="20">
        <f>40000</f>
        <v>40000</v>
      </c>
      <c r="P208" s="20">
        <v>-40000</v>
      </c>
      <c r="Q208" s="20"/>
      <c r="R208" s="20"/>
      <c r="S208" s="20">
        <f>25342-25342+40000-40000</f>
        <v>0</v>
      </c>
      <c r="T208" s="20">
        <f>399999-399999</f>
        <v>0</v>
      </c>
      <c r="U208" s="20">
        <f>350000-350000</f>
        <v>0</v>
      </c>
      <c r="V208" s="20">
        <f>224659-224659</f>
        <v>0</v>
      </c>
      <c r="W208" s="20">
        <f>500000-500000</f>
        <v>0</v>
      </c>
      <c r="X208" s="20"/>
      <c r="Y208" s="118">
        <f t="shared" si="27"/>
        <v>0</v>
      </c>
      <c r="Z208" s="24"/>
      <c r="AA208" s="118">
        <f t="shared" si="25"/>
        <v>0</v>
      </c>
      <c r="AB208" s="118"/>
      <c r="AC208" s="24"/>
      <c r="AD208" s="118">
        <f t="shared" si="26"/>
        <v>0</v>
      </c>
    </row>
    <row r="209" spans="1:30" ht="21">
      <c r="A209" s="169"/>
      <c r="B209" s="169"/>
      <c r="C209" s="169"/>
      <c r="D209" s="166"/>
      <c r="E209" s="19" t="s">
        <v>526</v>
      </c>
      <c r="F209" s="96">
        <v>2147</v>
      </c>
      <c r="G209" s="58">
        <v>2020</v>
      </c>
      <c r="H209" s="20">
        <v>1500000</v>
      </c>
      <c r="I209" s="58">
        <v>0</v>
      </c>
      <c r="J209" s="58">
        <v>3132</v>
      </c>
      <c r="K209" s="20">
        <f>1500000-1000000</f>
        <v>500000</v>
      </c>
      <c r="L209" s="58">
        <v>100</v>
      </c>
      <c r="M209" s="20"/>
      <c r="N209" s="20"/>
      <c r="O209" s="20"/>
      <c r="P209" s="20"/>
      <c r="Q209" s="20"/>
      <c r="R209" s="20"/>
      <c r="S209" s="20"/>
      <c r="T209" s="20">
        <f>800000-800000</f>
        <v>0</v>
      </c>
      <c r="U209" s="20"/>
      <c r="V209" s="20">
        <f>300000-200000</f>
        <v>100000</v>
      </c>
      <c r="W209" s="20">
        <v>400000</v>
      </c>
      <c r="X209" s="20"/>
      <c r="Y209" s="118">
        <f t="shared" si="27"/>
        <v>0</v>
      </c>
      <c r="Z209" s="24"/>
      <c r="AA209" s="118">
        <f t="shared" si="25"/>
        <v>0</v>
      </c>
      <c r="AB209" s="118"/>
      <c r="AC209" s="24"/>
      <c r="AD209" s="118">
        <f t="shared" si="26"/>
        <v>500000</v>
      </c>
    </row>
    <row r="210" spans="1:30" ht="21">
      <c r="A210" s="169"/>
      <c r="B210" s="169"/>
      <c r="C210" s="169"/>
      <c r="D210" s="166"/>
      <c r="E210" s="26" t="s">
        <v>549</v>
      </c>
      <c r="F210" s="96">
        <v>2148</v>
      </c>
      <c r="G210" s="58" t="s">
        <v>201</v>
      </c>
      <c r="H210" s="20">
        <v>200000</v>
      </c>
      <c r="I210" s="58">
        <v>98</v>
      </c>
      <c r="J210" s="58">
        <v>3132</v>
      </c>
      <c r="K210" s="20">
        <v>13957.08</v>
      </c>
      <c r="L210" s="58">
        <v>100</v>
      </c>
      <c r="M210" s="20"/>
      <c r="N210" s="20"/>
      <c r="O210" s="20"/>
      <c r="P210" s="20"/>
      <c r="Q210" s="20"/>
      <c r="R210" s="20"/>
      <c r="S210" s="20"/>
      <c r="T210" s="20"/>
      <c r="U210" s="20"/>
      <c r="V210" s="20">
        <v>13957.08</v>
      </c>
      <c r="W210" s="20"/>
      <c r="X210" s="20"/>
      <c r="Y210" s="118">
        <f t="shared" si="27"/>
        <v>0</v>
      </c>
      <c r="Z210" s="24"/>
      <c r="AA210" s="118">
        <f t="shared" si="25"/>
        <v>0</v>
      </c>
      <c r="AB210" s="118"/>
      <c r="AC210" s="24"/>
      <c r="AD210" s="118">
        <f t="shared" si="26"/>
        <v>13957.08</v>
      </c>
    </row>
    <row r="211" spans="1:30" ht="30.75" hidden="1">
      <c r="A211" s="169"/>
      <c r="B211" s="169"/>
      <c r="C211" s="169"/>
      <c r="D211" s="166"/>
      <c r="E211" s="19" t="s">
        <v>529</v>
      </c>
      <c r="F211" s="96">
        <v>2149</v>
      </c>
      <c r="G211" s="58">
        <v>2020</v>
      </c>
      <c r="H211" s="20">
        <v>1000000</v>
      </c>
      <c r="I211" s="58">
        <v>0</v>
      </c>
      <c r="J211" s="58">
        <v>3132</v>
      </c>
      <c r="K211" s="20">
        <f>1000000+500000-1500000</f>
        <v>0</v>
      </c>
      <c r="L211" s="58">
        <v>100</v>
      </c>
      <c r="M211" s="20"/>
      <c r="N211" s="20"/>
      <c r="O211" s="20"/>
      <c r="P211" s="20"/>
      <c r="Q211" s="20"/>
      <c r="R211" s="20"/>
      <c r="S211" s="20"/>
      <c r="T211" s="20">
        <f>450000-65505.24-384494.76</f>
        <v>0</v>
      </c>
      <c r="U211" s="20">
        <f>500000-500000</f>
        <v>0</v>
      </c>
      <c r="V211" s="20">
        <f>250000+50000-300000</f>
        <v>0</v>
      </c>
      <c r="W211" s="20">
        <f>250000-250000</f>
        <v>0</v>
      </c>
      <c r="X211" s="20"/>
      <c r="Y211" s="118">
        <f t="shared" si="27"/>
        <v>0</v>
      </c>
      <c r="Z211" s="24"/>
      <c r="AA211" s="118">
        <f aca="true" t="shared" si="28" ref="AA211:AA274">M211+N211+O211+P211+Q211+R211+S211-Z211</f>
        <v>0</v>
      </c>
      <c r="AB211" s="118"/>
      <c r="AC211" s="24"/>
      <c r="AD211" s="118">
        <f t="shared" si="26"/>
        <v>0</v>
      </c>
    </row>
    <row r="212" spans="1:30" ht="21">
      <c r="A212" s="169"/>
      <c r="B212" s="169"/>
      <c r="C212" s="169"/>
      <c r="D212" s="166"/>
      <c r="E212" s="19" t="s">
        <v>537</v>
      </c>
      <c r="F212" s="96">
        <v>2150</v>
      </c>
      <c r="G212" s="58" t="s">
        <v>201</v>
      </c>
      <c r="H212" s="20">
        <v>1030000</v>
      </c>
      <c r="I212" s="58">
        <v>67</v>
      </c>
      <c r="J212" s="58">
        <v>3132</v>
      </c>
      <c r="K212" s="20">
        <v>696002</v>
      </c>
      <c r="L212" s="58">
        <v>100</v>
      </c>
      <c r="M212" s="20"/>
      <c r="N212" s="20"/>
      <c r="O212" s="20">
        <f>696002</f>
        <v>696002</v>
      </c>
      <c r="P212" s="20"/>
      <c r="Q212" s="20"/>
      <c r="R212" s="20"/>
      <c r="S212" s="20">
        <f>696002-696002</f>
        <v>0</v>
      </c>
      <c r="T212" s="20"/>
      <c r="U212" s="20"/>
      <c r="V212" s="20"/>
      <c r="W212" s="20"/>
      <c r="X212" s="20"/>
      <c r="Y212" s="118">
        <f t="shared" si="27"/>
        <v>0</v>
      </c>
      <c r="Z212" s="24">
        <f>637877.93+58124</f>
        <v>696001.93</v>
      </c>
      <c r="AA212" s="118">
        <f t="shared" si="28"/>
        <v>0.06999999994877726</v>
      </c>
      <c r="AB212" s="118"/>
      <c r="AC212" s="24"/>
      <c r="AD212" s="118">
        <f aca="true" t="shared" si="29" ref="AD212:AD275">K212-Z212+AC212-AB212</f>
        <v>0.06999999994877726</v>
      </c>
    </row>
    <row r="213" spans="1:30" ht="21">
      <c r="A213" s="169"/>
      <c r="B213" s="169"/>
      <c r="C213" s="169"/>
      <c r="D213" s="166"/>
      <c r="E213" s="19" t="s">
        <v>815</v>
      </c>
      <c r="F213" s="96">
        <v>2579</v>
      </c>
      <c r="G213" s="58"/>
      <c r="H213" s="20"/>
      <c r="I213" s="58"/>
      <c r="J213" s="58">
        <v>3132</v>
      </c>
      <c r="K213" s="20">
        <f>200000</f>
        <v>200000</v>
      </c>
      <c r="L213" s="58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>
        <f>200000</f>
        <v>200000</v>
      </c>
      <c r="X213" s="20"/>
      <c r="Y213" s="118">
        <f t="shared" si="27"/>
        <v>0</v>
      </c>
      <c r="Z213" s="24"/>
      <c r="AA213" s="118">
        <f t="shared" si="28"/>
        <v>0</v>
      </c>
      <c r="AB213" s="118"/>
      <c r="AC213" s="24">
        <v>-200000</v>
      </c>
      <c r="AD213" s="118">
        <f t="shared" si="29"/>
        <v>0</v>
      </c>
    </row>
    <row r="214" spans="1:30" ht="21">
      <c r="A214" s="169"/>
      <c r="B214" s="169"/>
      <c r="C214" s="169"/>
      <c r="D214" s="166"/>
      <c r="E214" s="19" t="s">
        <v>663</v>
      </c>
      <c r="F214" s="96">
        <v>2151</v>
      </c>
      <c r="G214" s="58">
        <v>2020</v>
      </c>
      <c r="H214" s="20">
        <v>500000</v>
      </c>
      <c r="I214" s="58">
        <v>0</v>
      </c>
      <c r="J214" s="58">
        <v>3132</v>
      </c>
      <c r="K214" s="20">
        <v>500000</v>
      </c>
      <c r="L214" s="58">
        <v>100</v>
      </c>
      <c r="M214" s="20"/>
      <c r="N214" s="20"/>
      <c r="O214" s="20">
        <f>250000-250000</f>
        <v>0</v>
      </c>
      <c r="P214" s="20"/>
      <c r="Q214" s="20"/>
      <c r="R214" s="20"/>
      <c r="S214" s="20"/>
      <c r="T214" s="20">
        <f>300000-250000</f>
        <v>50000</v>
      </c>
      <c r="U214" s="20"/>
      <c r="V214" s="20"/>
      <c r="W214" s="20">
        <f>200000+250000</f>
        <v>450000</v>
      </c>
      <c r="X214" s="20"/>
      <c r="Y214" s="118">
        <f t="shared" si="27"/>
        <v>0</v>
      </c>
      <c r="Z214" s="24"/>
      <c r="AA214" s="118">
        <f t="shared" si="28"/>
        <v>0</v>
      </c>
      <c r="AB214" s="118"/>
      <c r="AC214" s="24"/>
      <c r="AD214" s="118">
        <f t="shared" si="29"/>
        <v>500000</v>
      </c>
    </row>
    <row r="215" spans="1:30" ht="21">
      <c r="A215" s="169"/>
      <c r="B215" s="169"/>
      <c r="C215" s="169"/>
      <c r="D215" s="166"/>
      <c r="E215" s="19" t="s">
        <v>536</v>
      </c>
      <c r="F215" s="96">
        <v>2152</v>
      </c>
      <c r="G215" s="58">
        <v>2020</v>
      </c>
      <c r="H215" s="20">
        <v>200000</v>
      </c>
      <c r="I215" s="58">
        <v>0</v>
      </c>
      <c r="J215" s="58">
        <v>3132</v>
      </c>
      <c r="K215" s="20">
        <v>200000</v>
      </c>
      <c r="L215" s="58">
        <v>100</v>
      </c>
      <c r="M215" s="20"/>
      <c r="N215" s="20"/>
      <c r="O215" s="20"/>
      <c r="P215" s="20"/>
      <c r="Q215" s="20"/>
      <c r="R215" s="20"/>
      <c r="S215" s="20"/>
      <c r="T215" s="20"/>
      <c r="U215" s="20">
        <v>100000</v>
      </c>
      <c r="V215" s="20"/>
      <c r="W215" s="20">
        <v>100000</v>
      </c>
      <c r="X215" s="20"/>
      <c r="Y215" s="118">
        <f t="shared" si="27"/>
        <v>0</v>
      </c>
      <c r="Z215" s="24"/>
      <c r="AA215" s="118">
        <f t="shared" si="28"/>
        <v>0</v>
      </c>
      <c r="AB215" s="118"/>
      <c r="AC215" s="24"/>
      <c r="AD215" s="118">
        <f t="shared" si="29"/>
        <v>200000</v>
      </c>
    </row>
    <row r="216" spans="1:30" ht="21">
      <c r="A216" s="169"/>
      <c r="B216" s="169"/>
      <c r="C216" s="169"/>
      <c r="D216" s="166"/>
      <c r="E216" s="19" t="s">
        <v>542</v>
      </c>
      <c r="F216" s="96">
        <v>2153</v>
      </c>
      <c r="G216" s="58" t="s">
        <v>201</v>
      </c>
      <c r="H216" s="20">
        <v>1133092</v>
      </c>
      <c r="I216" s="58">
        <v>82</v>
      </c>
      <c r="J216" s="58">
        <v>3132</v>
      </c>
      <c r="K216" s="20">
        <v>200800</v>
      </c>
      <c r="L216" s="58">
        <v>100</v>
      </c>
      <c r="M216" s="20"/>
      <c r="N216" s="20"/>
      <c r="O216" s="20">
        <f>200800</f>
        <v>200800</v>
      </c>
      <c r="P216" s="20"/>
      <c r="Q216" s="20"/>
      <c r="R216" s="20"/>
      <c r="S216" s="20">
        <f>100800-100800-65000</f>
        <v>-65000</v>
      </c>
      <c r="T216" s="20"/>
      <c r="U216" s="20">
        <f>65000</f>
        <v>65000</v>
      </c>
      <c r="V216" s="20">
        <f>100000-100000</f>
        <v>0</v>
      </c>
      <c r="W216" s="20"/>
      <c r="X216" s="20"/>
      <c r="Y216" s="118">
        <f t="shared" si="27"/>
        <v>0</v>
      </c>
      <c r="Z216" s="24">
        <f>135171</f>
        <v>135171</v>
      </c>
      <c r="AA216" s="118">
        <f t="shared" si="28"/>
        <v>629</v>
      </c>
      <c r="AB216" s="118"/>
      <c r="AC216" s="24"/>
      <c r="AD216" s="118">
        <f t="shared" si="29"/>
        <v>65629</v>
      </c>
    </row>
    <row r="217" spans="1:30" ht="21" hidden="1">
      <c r="A217" s="169"/>
      <c r="B217" s="169"/>
      <c r="C217" s="169"/>
      <c r="D217" s="166"/>
      <c r="E217" s="19" t="s">
        <v>523</v>
      </c>
      <c r="F217" s="96">
        <v>2154</v>
      </c>
      <c r="G217" s="58">
        <v>2020</v>
      </c>
      <c r="H217" s="20">
        <v>1000000</v>
      </c>
      <c r="I217" s="58">
        <v>0</v>
      </c>
      <c r="J217" s="58">
        <v>3132</v>
      </c>
      <c r="K217" s="20">
        <f>1000000-1000000</f>
        <v>0</v>
      </c>
      <c r="L217" s="58">
        <v>100</v>
      </c>
      <c r="M217" s="20"/>
      <c r="N217" s="20"/>
      <c r="O217" s="20"/>
      <c r="P217" s="20"/>
      <c r="Q217" s="20"/>
      <c r="R217" s="20"/>
      <c r="S217" s="20"/>
      <c r="T217" s="20">
        <f>500000-500000</f>
        <v>0</v>
      </c>
      <c r="U217" s="20"/>
      <c r="V217" s="20"/>
      <c r="W217" s="20">
        <f>500000-500000</f>
        <v>0</v>
      </c>
      <c r="X217" s="20"/>
      <c r="Y217" s="118">
        <f t="shared" si="27"/>
        <v>0</v>
      </c>
      <c r="Z217" s="24"/>
      <c r="AA217" s="118">
        <f t="shared" si="28"/>
        <v>0</v>
      </c>
      <c r="AB217" s="118"/>
      <c r="AC217" s="24"/>
      <c r="AD217" s="118">
        <f t="shared" si="29"/>
        <v>0</v>
      </c>
    </row>
    <row r="218" spans="1:30" ht="46.5">
      <c r="A218" s="169"/>
      <c r="B218" s="169"/>
      <c r="C218" s="169"/>
      <c r="D218" s="166"/>
      <c r="E218" s="19" t="s">
        <v>543</v>
      </c>
      <c r="F218" s="96">
        <v>2155</v>
      </c>
      <c r="G218" s="58" t="s">
        <v>201</v>
      </c>
      <c r="H218" s="20">
        <v>1413484</v>
      </c>
      <c r="I218" s="58">
        <v>67.7</v>
      </c>
      <c r="J218" s="58">
        <v>3132</v>
      </c>
      <c r="K218" s="20">
        <f>356753.05+100000</f>
        <v>456753.05</v>
      </c>
      <c r="L218" s="58">
        <v>100</v>
      </c>
      <c r="M218" s="20"/>
      <c r="N218" s="20"/>
      <c r="O218" s="20"/>
      <c r="P218" s="20">
        <v>456753.05</v>
      </c>
      <c r="Q218" s="20"/>
      <c r="R218" s="20">
        <v>-442567.82</v>
      </c>
      <c r="S218" s="20">
        <f>620.66</f>
        <v>620.66</v>
      </c>
      <c r="T218" s="20"/>
      <c r="U218" s="20"/>
      <c r="V218" s="20">
        <f>428552.3</f>
        <v>428552.3</v>
      </c>
      <c r="W218" s="20"/>
      <c r="X218" s="20">
        <f>13394.86</f>
        <v>13394.86</v>
      </c>
      <c r="Y218" s="118">
        <f t="shared" si="27"/>
        <v>4.3655745685100555E-11</v>
      </c>
      <c r="Z218" s="24"/>
      <c r="AA218" s="118">
        <f t="shared" si="28"/>
        <v>14805.889999999981</v>
      </c>
      <c r="AB218" s="118"/>
      <c r="AC218" s="24"/>
      <c r="AD218" s="118">
        <f t="shared" si="29"/>
        <v>456753.05</v>
      </c>
    </row>
    <row r="219" spans="1:30" ht="21">
      <c r="A219" s="169"/>
      <c r="B219" s="169"/>
      <c r="C219" s="169"/>
      <c r="D219" s="166"/>
      <c r="E219" s="19" t="s">
        <v>544</v>
      </c>
      <c r="F219" s="96">
        <v>2156</v>
      </c>
      <c r="G219" s="58" t="s">
        <v>201</v>
      </c>
      <c r="H219" s="20">
        <v>314000</v>
      </c>
      <c r="I219" s="58">
        <v>95</v>
      </c>
      <c r="J219" s="58">
        <v>3132</v>
      </c>
      <c r="K219" s="20">
        <v>14240</v>
      </c>
      <c r="L219" s="58">
        <v>100</v>
      </c>
      <c r="M219" s="20"/>
      <c r="N219" s="20"/>
      <c r="O219" s="20">
        <v>14240</v>
      </c>
      <c r="P219" s="20"/>
      <c r="Q219" s="20"/>
      <c r="R219" s="20"/>
      <c r="S219" s="20"/>
      <c r="T219" s="20"/>
      <c r="U219" s="20"/>
      <c r="V219" s="20"/>
      <c r="W219" s="20"/>
      <c r="X219" s="20"/>
      <c r="Y219" s="118">
        <f t="shared" si="27"/>
        <v>0</v>
      </c>
      <c r="Z219" s="24">
        <f>13819</f>
        <v>13819</v>
      </c>
      <c r="AA219" s="118">
        <f t="shared" si="28"/>
        <v>421</v>
      </c>
      <c r="AB219" s="118"/>
      <c r="AC219" s="24"/>
      <c r="AD219" s="118">
        <f t="shared" si="29"/>
        <v>421</v>
      </c>
    </row>
    <row r="220" spans="1:30" ht="30.75">
      <c r="A220" s="169"/>
      <c r="B220" s="169"/>
      <c r="C220" s="169"/>
      <c r="D220" s="166"/>
      <c r="E220" s="19" t="s">
        <v>702</v>
      </c>
      <c r="F220" s="96">
        <v>2157</v>
      </c>
      <c r="G220" s="58">
        <v>2020</v>
      </c>
      <c r="H220" s="20">
        <v>402000</v>
      </c>
      <c r="I220" s="58">
        <v>0</v>
      </c>
      <c r="J220" s="58">
        <v>3132</v>
      </c>
      <c r="K220" s="20">
        <v>402000</v>
      </c>
      <c r="L220" s="58">
        <v>100</v>
      </c>
      <c r="M220" s="20"/>
      <c r="N220" s="20"/>
      <c r="O220" s="20"/>
      <c r="P220" s="20"/>
      <c r="Q220" s="20"/>
      <c r="R220" s="20"/>
      <c r="S220" s="20"/>
      <c r="T220" s="20"/>
      <c r="U220" s="20"/>
      <c r="V220" s="20">
        <v>402000</v>
      </c>
      <c r="W220" s="20"/>
      <c r="X220" s="20"/>
      <c r="Y220" s="118">
        <f t="shared" si="27"/>
        <v>0</v>
      </c>
      <c r="Z220" s="24"/>
      <c r="AA220" s="118">
        <f t="shared" si="28"/>
        <v>0</v>
      </c>
      <c r="AB220" s="118"/>
      <c r="AC220" s="24"/>
      <c r="AD220" s="118">
        <f t="shared" si="29"/>
        <v>402000</v>
      </c>
    </row>
    <row r="221" spans="1:30" ht="30.75">
      <c r="A221" s="169"/>
      <c r="B221" s="169"/>
      <c r="C221" s="169"/>
      <c r="D221" s="166"/>
      <c r="E221" s="19" t="s">
        <v>714</v>
      </c>
      <c r="F221" s="96">
        <v>2158</v>
      </c>
      <c r="G221" s="58" t="s">
        <v>201</v>
      </c>
      <c r="H221" s="24">
        <v>1555930</v>
      </c>
      <c r="I221" s="58">
        <v>62</v>
      </c>
      <c r="J221" s="58">
        <v>3132</v>
      </c>
      <c r="K221" s="24">
        <v>961100</v>
      </c>
      <c r="L221" s="58">
        <v>100</v>
      </c>
      <c r="M221" s="20"/>
      <c r="N221" s="20"/>
      <c r="O221" s="20">
        <f>961100</f>
        <v>961100</v>
      </c>
      <c r="P221" s="20"/>
      <c r="Q221" s="20"/>
      <c r="R221" s="20"/>
      <c r="S221" s="20"/>
      <c r="T221" s="20"/>
      <c r="U221" s="20"/>
      <c r="V221" s="20">
        <f>961100-961100</f>
        <v>0</v>
      </c>
      <c r="W221" s="20"/>
      <c r="X221" s="20"/>
      <c r="Y221" s="118">
        <f aca="true" t="shared" si="30" ref="Y221:Y285">K221-M221-N221-O221-P221-Q221-R221-S221-T221-U221-V221-W221-X221</f>
        <v>0</v>
      </c>
      <c r="Z221" s="24">
        <f>961098.57</f>
        <v>961098.57</v>
      </c>
      <c r="AA221" s="118">
        <f t="shared" si="28"/>
        <v>1.4300000000512227</v>
      </c>
      <c r="AB221" s="118"/>
      <c r="AC221" s="24"/>
      <c r="AD221" s="118">
        <f t="shared" si="29"/>
        <v>1.4300000000512227</v>
      </c>
    </row>
    <row r="222" spans="1:30" ht="30.75">
      <c r="A222" s="169"/>
      <c r="B222" s="169"/>
      <c r="C222" s="169"/>
      <c r="D222" s="166"/>
      <c r="E222" s="19" t="s">
        <v>715</v>
      </c>
      <c r="F222" s="96">
        <v>2159</v>
      </c>
      <c r="G222" s="58" t="s">
        <v>201</v>
      </c>
      <c r="H222" s="20">
        <v>430000</v>
      </c>
      <c r="I222" s="58">
        <v>99</v>
      </c>
      <c r="J222" s="58">
        <v>3132</v>
      </c>
      <c r="K222" s="20">
        <v>1290.1</v>
      </c>
      <c r="L222" s="58">
        <v>100</v>
      </c>
      <c r="M222" s="20"/>
      <c r="N222" s="20">
        <v>1290.1</v>
      </c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118">
        <f t="shared" si="30"/>
        <v>0</v>
      </c>
      <c r="Z222" s="24"/>
      <c r="AA222" s="118">
        <f t="shared" si="28"/>
        <v>1290.1</v>
      </c>
      <c r="AB222" s="118"/>
      <c r="AC222" s="24"/>
      <c r="AD222" s="118">
        <f t="shared" si="29"/>
        <v>1290.1</v>
      </c>
    </row>
    <row r="223" spans="1:30" ht="30.75">
      <c r="A223" s="169"/>
      <c r="B223" s="169"/>
      <c r="C223" s="169"/>
      <c r="D223" s="166"/>
      <c r="E223" s="19" t="s">
        <v>524</v>
      </c>
      <c r="F223" s="96">
        <v>2160</v>
      </c>
      <c r="G223" s="58">
        <v>2020</v>
      </c>
      <c r="H223" s="20">
        <v>1200000</v>
      </c>
      <c r="I223" s="58">
        <v>0</v>
      </c>
      <c r="J223" s="58">
        <v>3132</v>
      </c>
      <c r="K223" s="20">
        <v>1200000</v>
      </c>
      <c r="L223" s="58">
        <v>100</v>
      </c>
      <c r="M223" s="20"/>
      <c r="N223" s="20"/>
      <c r="O223" s="20"/>
      <c r="P223" s="20"/>
      <c r="Q223" s="20"/>
      <c r="R223" s="20"/>
      <c r="S223" s="20">
        <f>630000</f>
        <v>630000</v>
      </c>
      <c r="T223" s="20">
        <f>327755.4-327000</f>
        <v>755.4000000000233</v>
      </c>
      <c r="U223" s="20">
        <f>350000-303000</f>
        <v>47000</v>
      </c>
      <c r="V223" s="20"/>
      <c r="W223" s="20">
        <v>522244.6</v>
      </c>
      <c r="X223" s="20"/>
      <c r="Y223" s="118">
        <f t="shared" si="30"/>
        <v>0</v>
      </c>
      <c r="Z223" s="24">
        <f>543332.2</f>
        <v>543332.2</v>
      </c>
      <c r="AA223" s="118">
        <f t="shared" si="28"/>
        <v>86667.80000000005</v>
      </c>
      <c r="AB223" s="118"/>
      <c r="AC223" s="24"/>
      <c r="AD223" s="118">
        <f t="shared" si="29"/>
        <v>656667.8</v>
      </c>
    </row>
    <row r="224" spans="1:30" ht="21">
      <c r="A224" s="169"/>
      <c r="B224" s="169"/>
      <c r="C224" s="169"/>
      <c r="D224" s="166"/>
      <c r="E224" s="26" t="s">
        <v>547</v>
      </c>
      <c r="F224" s="96">
        <v>2161</v>
      </c>
      <c r="G224" s="58">
        <v>2020</v>
      </c>
      <c r="H224" s="20">
        <v>700000</v>
      </c>
      <c r="I224" s="58">
        <v>0</v>
      </c>
      <c r="J224" s="58">
        <v>3132</v>
      </c>
      <c r="K224" s="20">
        <v>700000</v>
      </c>
      <c r="L224" s="58">
        <v>100</v>
      </c>
      <c r="M224" s="20"/>
      <c r="N224" s="20"/>
      <c r="O224" s="20">
        <v>35000</v>
      </c>
      <c r="P224" s="20"/>
      <c r="Q224" s="20"/>
      <c r="R224" s="20"/>
      <c r="S224" s="20">
        <f>323000+342000</f>
        <v>665000</v>
      </c>
      <c r="T224" s="20">
        <f>192000-192000</f>
        <v>0</v>
      </c>
      <c r="U224" s="20"/>
      <c r="V224" s="20">
        <f>150000-150000</f>
        <v>0</v>
      </c>
      <c r="W224" s="20"/>
      <c r="X224" s="20"/>
      <c r="Y224" s="118">
        <f t="shared" si="30"/>
        <v>0</v>
      </c>
      <c r="Z224" s="24">
        <f>34610+322983.53</f>
        <v>357593.53</v>
      </c>
      <c r="AA224" s="118">
        <f t="shared" si="28"/>
        <v>342406.47</v>
      </c>
      <c r="AB224" s="118"/>
      <c r="AC224" s="24"/>
      <c r="AD224" s="118">
        <f t="shared" si="29"/>
        <v>342406.47</v>
      </c>
    </row>
    <row r="225" spans="1:30" ht="21">
      <c r="A225" s="169"/>
      <c r="B225" s="169"/>
      <c r="C225" s="169"/>
      <c r="D225" s="166"/>
      <c r="E225" s="63" t="s">
        <v>665</v>
      </c>
      <c r="F225" s="96">
        <v>2162</v>
      </c>
      <c r="G225" s="58">
        <v>2020</v>
      </c>
      <c r="H225" s="20">
        <v>200000</v>
      </c>
      <c r="I225" s="58">
        <v>0</v>
      </c>
      <c r="J225" s="58">
        <v>3132</v>
      </c>
      <c r="K225" s="20">
        <v>200000</v>
      </c>
      <c r="L225" s="58">
        <v>100</v>
      </c>
      <c r="M225" s="20"/>
      <c r="N225" s="20"/>
      <c r="O225" s="20"/>
      <c r="P225" s="20"/>
      <c r="Q225" s="20"/>
      <c r="R225" s="20"/>
      <c r="S225" s="20"/>
      <c r="T225" s="20"/>
      <c r="U225" s="20">
        <v>100000</v>
      </c>
      <c r="V225" s="20"/>
      <c r="W225" s="20">
        <v>100000</v>
      </c>
      <c r="X225" s="20"/>
      <c r="Y225" s="118">
        <f t="shared" si="30"/>
        <v>0</v>
      </c>
      <c r="Z225" s="24"/>
      <c r="AA225" s="118">
        <f t="shared" si="28"/>
        <v>0</v>
      </c>
      <c r="AB225" s="118"/>
      <c r="AC225" s="24"/>
      <c r="AD225" s="118">
        <f t="shared" si="29"/>
        <v>200000</v>
      </c>
    </row>
    <row r="226" spans="1:30" ht="21">
      <c r="A226" s="169"/>
      <c r="B226" s="169"/>
      <c r="C226" s="169"/>
      <c r="D226" s="166"/>
      <c r="E226" s="19" t="s">
        <v>697</v>
      </c>
      <c r="F226" s="96">
        <v>2163</v>
      </c>
      <c r="G226" s="58">
        <v>2020</v>
      </c>
      <c r="H226" s="20">
        <v>1490000</v>
      </c>
      <c r="I226" s="58">
        <v>0</v>
      </c>
      <c r="J226" s="58">
        <v>3132</v>
      </c>
      <c r="K226" s="20">
        <v>1490000</v>
      </c>
      <c r="L226" s="58">
        <v>100</v>
      </c>
      <c r="M226" s="20"/>
      <c r="N226" s="20"/>
      <c r="O226" s="20"/>
      <c r="P226" s="20"/>
      <c r="Q226" s="20"/>
      <c r="R226" s="20"/>
      <c r="S226" s="20">
        <f>750000</f>
        <v>750000</v>
      </c>
      <c r="T226" s="20">
        <f>800000-750000</f>
        <v>50000</v>
      </c>
      <c r="U226" s="20"/>
      <c r="V226" s="20">
        <v>400000</v>
      </c>
      <c r="W226" s="20">
        <v>290000</v>
      </c>
      <c r="X226" s="20"/>
      <c r="Y226" s="118">
        <f t="shared" si="30"/>
        <v>0</v>
      </c>
      <c r="Z226" s="24">
        <v>646346.81</v>
      </c>
      <c r="AA226" s="118">
        <f t="shared" si="28"/>
        <v>103653.18999999994</v>
      </c>
      <c r="AB226" s="118"/>
      <c r="AC226" s="24"/>
      <c r="AD226" s="118">
        <f t="shared" si="29"/>
        <v>843653.19</v>
      </c>
    </row>
    <row r="227" spans="1:30" ht="21">
      <c r="A227" s="169"/>
      <c r="B227" s="169"/>
      <c r="C227" s="169"/>
      <c r="D227" s="166"/>
      <c r="E227" s="63" t="s">
        <v>550</v>
      </c>
      <c r="F227" s="96">
        <v>2164</v>
      </c>
      <c r="G227" s="58">
        <v>2020</v>
      </c>
      <c r="H227" s="20">
        <v>7128000</v>
      </c>
      <c r="I227" s="58">
        <v>0</v>
      </c>
      <c r="J227" s="58">
        <v>3132</v>
      </c>
      <c r="K227" s="20">
        <v>7128000</v>
      </c>
      <c r="L227" s="58">
        <v>100</v>
      </c>
      <c r="M227" s="20"/>
      <c r="N227" s="20">
        <v>60000</v>
      </c>
      <c r="O227" s="20"/>
      <c r="P227" s="20"/>
      <c r="Q227" s="20"/>
      <c r="R227" s="20"/>
      <c r="S227" s="20">
        <f>1000000-278972-634232-34000</f>
        <v>52796</v>
      </c>
      <c r="T227" s="20">
        <f>2068000-353023+34000</f>
        <v>1748977</v>
      </c>
      <c r="U227" s="20">
        <f>1000000+63656.8</f>
        <v>1063656.8</v>
      </c>
      <c r="V227" s="20">
        <f>1000000+570575.2</f>
        <v>1570575.2</v>
      </c>
      <c r="W227" s="20">
        <v>1008253.85</v>
      </c>
      <c r="X227" s="20">
        <f>991746.15+631995</f>
        <v>1623741.15</v>
      </c>
      <c r="Y227" s="118">
        <f t="shared" si="30"/>
        <v>0</v>
      </c>
      <c r="Z227" s="24">
        <f>78597.11</f>
        <v>78597.11</v>
      </c>
      <c r="AA227" s="118">
        <f t="shared" si="28"/>
        <v>34198.89</v>
      </c>
      <c r="AB227" s="118"/>
      <c r="AC227" s="24"/>
      <c r="AD227" s="118">
        <f t="shared" si="29"/>
        <v>7049402.89</v>
      </c>
    </row>
    <row r="228" spans="1:30" ht="21">
      <c r="A228" s="169"/>
      <c r="B228" s="169"/>
      <c r="C228" s="169"/>
      <c r="D228" s="166"/>
      <c r="E228" s="19" t="s">
        <v>664</v>
      </c>
      <c r="F228" s="96">
        <v>2165</v>
      </c>
      <c r="G228" s="58" t="s">
        <v>201</v>
      </c>
      <c r="H228" s="20">
        <v>1489210</v>
      </c>
      <c r="I228" s="58">
        <v>90</v>
      </c>
      <c r="J228" s="58">
        <v>3132</v>
      </c>
      <c r="K228" s="20">
        <v>147639.02</v>
      </c>
      <c r="L228" s="58">
        <v>100</v>
      </c>
      <c r="M228" s="20"/>
      <c r="N228" s="20"/>
      <c r="O228" s="20">
        <f>147639.02</f>
        <v>147639.02</v>
      </c>
      <c r="P228" s="20"/>
      <c r="Q228" s="20"/>
      <c r="R228" s="20"/>
      <c r="S228" s="20"/>
      <c r="T228" s="20"/>
      <c r="U228" s="20"/>
      <c r="V228" s="20"/>
      <c r="W228" s="20"/>
      <c r="X228" s="20">
        <f>147639.02-147639.02</f>
        <v>0</v>
      </c>
      <c r="Y228" s="118">
        <f t="shared" si="30"/>
        <v>0</v>
      </c>
      <c r="Z228" s="24">
        <v>123722</v>
      </c>
      <c r="AA228" s="118">
        <f t="shared" si="28"/>
        <v>23917.01999999999</v>
      </c>
      <c r="AB228" s="118"/>
      <c r="AC228" s="24"/>
      <c r="AD228" s="118">
        <f t="shared" si="29"/>
        <v>23917.01999999999</v>
      </c>
    </row>
    <row r="229" spans="1:30" ht="30.75">
      <c r="A229" s="169"/>
      <c r="B229" s="169"/>
      <c r="C229" s="169"/>
      <c r="D229" s="166"/>
      <c r="E229" s="19" t="s">
        <v>681</v>
      </c>
      <c r="F229" s="96">
        <v>2166</v>
      </c>
      <c r="G229" s="58">
        <v>2020</v>
      </c>
      <c r="H229" s="20">
        <v>1490000</v>
      </c>
      <c r="I229" s="58">
        <v>0</v>
      </c>
      <c r="J229" s="58">
        <v>3132</v>
      </c>
      <c r="K229" s="20">
        <v>1490000</v>
      </c>
      <c r="L229" s="58">
        <v>100</v>
      </c>
      <c r="M229" s="20"/>
      <c r="N229" s="20"/>
      <c r="O229" s="20"/>
      <c r="P229" s="20"/>
      <c r="Q229" s="20">
        <f>800000</f>
        <v>800000</v>
      </c>
      <c r="R229" s="20">
        <v>-39000</v>
      </c>
      <c r="S229" s="20"/>
      <c r="T229" s="20"/>
      <c r="U229" s="20"/>
      <c r="V229" s="20">
        <f>800000-800000</f>
        <v>0</v>
      </c>
      <c r="W229" s="20">
        <v>400000</v>
      </c>
      <c r="X229" s="20">
        <f>290000+39000</f>
        <v>329000</v>
      </c>
      <c r="Y229" s="118">
        <f t="shared" si="30"/>
        <v>0</v>
      </c>
      <c r="Z229" s="24">
        <f>760075.48</f>
        <v>760075.48</v>
      </c>
      <c r="AA229" s="118">
        <f t="shared" si="28"/>
        <v>924.5200000000186</v>
      </c>
      <c r="AB229" s="118"/>
      <c r="AC229" s="24"/>
      <c r="AD229" s="118">
        <f t="shared" si="29"/>
        <v>729924.52</v>
      </c>
    </row>
    <row r="230" spans="1:30" ht="21">
      <c r="A230" s="169"/>
      <c r="B230" s="169"/>
      <c r="C230" s="169"/>
      <c r="D230" s="166"/>
      <c r="E230" s="19" t="s">
        <v>527</v>
      </c>
      <c r="F230" s="96">
        <v>2167</v>
      </c>
      <c r="G230" s="58">
        <v>2020</v>
      </c>
      <c r="H230" s="20">
        <v>1490000</v>
      </c>
      <c r="I230" s="58">
        <v>0</v>
      </c>
      <c r="J230" s="58">
        <v>3132</v>
      </c>
      <c r="K230" s="20">
        <v>1490000</v>
      </c>
      <c r="L230" s="58">
        <v>100</v>
      </c>
      <c r="M230" s="20"/>
      <c r="N230" s="20"/>
      <c r="O230" s="20"/>
      <c r="P230" s="20"/>
      <c r="Q230" s="20"/>
      <c r="R230" s="20">
        <f>800000</f>
        <v>800000</v>
      </c>
      <c r="S230" s="20"/>
      <c r="T230" s="20">
        <f>700000-700000</f>
        <v>0</v>
      </c>
      <c r="U230" s="20"/>
      <c r="V230" s="20">
        <f>390000-100000</f>
        <v>290000</v>
      </c>
      <c r="W230" s="20">
        <v>400000</v>
      </c>
      <c r="X230" s="20"/>
      <c r="Y230" s="118">
        <f t="shared" si="30"/>
        <v>0</v>
      </c>
      <c r="Z230" s="24">
        <f>638350.5+94967</f>
        <v>733317.5</v>
      </c>
      <c r="AA230" s="118">
        <f t="shared" si="28"/>
        <v>66682.5</v>
      </c>
      <c r="AB230" s="118"/>
      <c r="AC230" s="24"/>
      <c r="AD230" s="118">
        <f t="shared" si="29"/>
        <v>756682.5</v>
      </c>
    </row>
    <row r="231" spans="1:30" ht="30.75">
      <c r="A231" s="169"/>
      <c r="B231" s="169"/>
      <c r="C231" s="169"/>
      <c r="D231" s="166"/>
      <c r="E231" s="19" t="s">
        <v>525</v>
      </c>
      <c r="F231" s="96">
        <v>2168</v>
      </c>
      <c r="G231" s="58">
        <v>2020</v>
      </c>
      <c r="H231" s="20">
        <v>3000000</v>
      </c>
      <c r="I231" s="58">
        <v>0</v>
      </c>
      <c r="J231" s="58">
        <v>3132</v>
      </c>
      <c r="K231" s="20">
        <f>3000000-2500000</f>
        <v>500000</v>
      </c>
      <c r="L231" s="58">
        <v>100</v>
      </c>
      <c r="M231" s="20"/>
      <c r="N231" s="20"/>
      <c r="O231" s="20">
        <f>200000</f>
        <v>200000</v>
      </c>
      <c r="P231" s="20"/>
      <c r="Q231" s="20"/>
      <c r="R231" s="20"/>
      <c r="S231" s="20">
        <f>1375000-200000-875000-300000</f>
        <v>0</v>
      </c>
      <c r="T231" s="20">
        <v>300000</v>
      </c>
      <c r="U231" s="20">
        <f>450000-450000</f>
        <v>0</v>
      </c>
      <c r="V231" s="20">
        <f>475000-475000</f>
        <v>0</v>
      </c>
      <c r="W231" s="20">
        <f>700000-700000</f>
        <v>0</v>
      </c>
      <c r="X231" s="20"/>
      <c r="Y231" s="118">
        <f t="shared" si="30"/>
        <v>0</v>
      </c>
      <c r="Z231" s="24">
        <f>200000</f>
        <v>200000</v>
      </c>
      <c r="AA231" s="118">
        <f t="shared" si="28"/>
        <v>0</v>
      </c>
      <c r="AB231" s="118"/>
      <c r="AC231" s="24"/>
      <c r="AD231" s="118">
        <f t="shared" si="29"/>
        <v>300000</v>
      </c>
    </row>
    <row r="232" spans="1:30" ht="46.5">
      <c r="A232" s="169"/>
      <c r="B232" s="169"/>
      <c r="C232" s="169"/>
      <c r="D232" s="166"/>
      <c r="E232" s="26" t="s">
        <v>548</v>
      </c>
      <c r="F232" s="96">
        <v>2169</v>
      </c>
      <c r="G232" s="58">
        <v>2020</v>
      </c>
      <c r="H232" s="20">
        <v>800000</v>
      </c>
      <c r="I232" s="58">
        <v>0</v>
      </c>
      <c r="J232" s="58">
        <v>3132</v>
      </c>
      <c r="K232" s="20">
        <v>800000</v>
      </c>
      <c r="L232" s="58">
        <v>100</v>
      </c>
      <c r="M232" s="20"/>
      <c r="N232" s="20"/>
      <c r="O232" s="20">
        <f>50000</f>
        <v>50000</v>
      </c>
      <c r="P232" s="20"/>
      <c r="Q232" s="20"/>
      <c r="R232" s="20">
        <f>341000</f>
        <v>341000</v>
      </c>
      <c r="S232" s="20"/>
      <c r="T232" s="20">
        <f>320000-50000-270000</f>
        <v>0</v>
      </c>
      <c r="U232" s="20"/>
      <c r="V232" s="20">
        <f>239504.8-71000</f>
        <v>168504.8</v>
      </c>
      <c r="W232" s="20">
        <v>130495.2</v>
      </c>
      <c r="X232" s="20">
        <v>110000</v>
      </c>
      <c r="Y232" s="118">
        <f t="shared" si="30"/>
        <v>0</v>
      </c>
      <c r="Z232" s="24">
        <f>49914+341000</f>
        <v>390914</v>
      </c>
      <c r="AA232" s="118">
        <f t="shared" si="28"/>
        <v>86</v>
      </c>
      <c r="AB232" s="118"/>
      <c r="AC232" s="24"/>
      <c r="AD232" s="118">
        <f t="shared" si="29"/>
        <v>409086</v>
      </c>
    </row>
    <row r="233" spans="1:30" ht="21">
      <c r="A233" s="169"/>
      <c r="B233" s="169"/>
      <c r="C233" s="169"/>
      <c r="D233" s="166"/>
      <c r="E233" s="19" t="s">
        <v>556</v>
      </c>
      <c r="F233" s="96">
        <v>2170</v>
      </c>
      <c r="G233" s="58" t="s">
        <v>201</v>
      </c>
      <c r="H233" s="20">
        <v>700000</v>
      </c>
      <c r="I233" s="58">
        <v>93</v>
      </c>
      <c r="J233" s="58">
        <v>3132</v>
      </c>
      <c r="K233" s="20">
        <v>47393</v>
      </c>
      <c r="L233" s="58">
        <v>100</v>
      </c>
      <c r="M233" s="20"/>
      <c r="N233" s="20"/>
      <c r="O233" s="20"/>
      <c r="P233" s="20"/>
      <c r="Q233" s="20"/>
      <c r="R233" s="20"/>
      <c r="S233" s="20"/>
      <c r="T233" s="20"/>
      <c r="U233" s="20"/>
      <c r="V233" s="20">
        <v>47393</v>
      </c>
      <c r="W233" s="20"/>
      <c r="X233" s="20"/>
      <c r="Y233" s="118">
        <f t="shared" si="30"/>
        <v>0</v>
      </c>
      <c r="Z233" s="24"/>
      <c r="AA233" s="118">
        <f t="shared" si="28"/>
        <v>0</v>
      </c>
      <c r="AB233" s="118"/>
      <c r="AC233" s="24"/>
      <c r="AD233" s="118">
        <f t="shared" si="29"/>
        <v>47393</v>
      </c>
    </row>
    <row r="234" spans="1:30" ht="30.75">
      <c r="A234" s="169"/>
      <c r="B234" s="169"/>
      <c r="C234" s="169"/>
      <c r="D234" s="166"/>
      <c r="E234" s="64" t="s">
        <v>554</v>
      </c>
      <c r="F234" s="96">
        <v>2171</v>
      </c>
      <c r="G234" s="58" t="s">
        <v>201</v>
      </c>
      <c r="H234" s="24">
        <v>620000</v>
      </c>
      <c r="I234" s="58">
        <v>40</v>
      </c>
      <c r="J234" s="58">
        <v>3132</v>
      </c>
      <c r="K234" s="24">
        <v>176000</v>
      </c>
      <c r="L234" s="58">
        <v>100</v>
      </c>
      <c r="M234" s="20"/>
      <c r="N234" s="20"/>
      <c r="O234" s="20"/>
      <c r="P234" s="20"/>
      <c r="Q234" s="20"/>
      <c r="R234" s="20"/>
      <c r="S234" s="20">
        <f>176000-176000</f>
        <v>0</v>
      </c>
      <c r="T234" s="20">
        <f>176000</f>
        <v>176000</v>
      </c>
      <c r="U234" s="20"/>
      <c r="V234" s="20"/>
      <c r="W234" s="20"/>
      <c r="X234" s="20"/>
      <c r="Y234" s="118">
        <f t="shared" si="30"/>
        <v>0</v>
      </c>
      <c r="Z234" s="24"/>
      <c r="AA234" s="118">
        <f t="shared" si="28"/>
        <v>0</v>
      </c>
      <c r="AB234" s="118"/>
      <c r="AC234" s="24"/>
      <c r="AD234" s="118">
        <f t="shared" si="29"/>
        <v>176000</v>
      </c>
    </row>
    <row r="235" spans="1:30" ht="21">
      <c r="A235" s="169"/>
      <c r="B235" s="169"/>
      <c r="C235" s="169"/>
      <c r="D235" s="166"/>
      <c r="E235" s="64" t="s">
        <v>813</v>
      </c>
      <c r="F235" s="96">
        <v>2577</v>
      </c>
      <c r="G235" s="58"/>
      <c r="H235" s="24"/>
      <c r="I235" s="58"/>
      <c r="J235" s="58">
        <v>3132</v>
      </c>
      <c r="K235" s="24">
        <f>935000</f>
        <v>935000</v>
      </c>
      <c r="L235" s="58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>
        <f>935000</f>
        <v>935000</v>
      </c>
      <c r="Y235" s="118">
        <f t="shared" si="30"/>
        <v>0</v>
      </c>
      <c r="Z235" s="24"/>
      <c r="AA235" s="118">
        <f t="shared" si="28"/>
        <v>0</v>
      </c>
      <c r="AB235" s="118"/>
      <c r="AC235" s="24"/>
      <c r="AD235" s="118">
        <f t="shared" si="29"/>
        <v>935000</v>
      </c>
    </row>
    <row r="236" spans="1:30" ht="46.5">
      <c r="A236" s="169"/>
      <c r="B236" s="169"/>
      <c r="C236" s="169"/>
      <c r="D236" s="166"/>
      <c r="E236" s="19" t="s">
        <v>666</v>
      </c>
      <c r="F236" s="96">
        <v>2172</v>
      </c>
      <c r="G236" s="58" t="s">
        <v>201</v>
      </c>
      <c r="H236" s="65">
        <v>645800</v>
      </c>
      <c r="I236" s="58">
        <v>100</v>
      </c>
      <c r="J236" s="58">
        <v>3132</v>
      </c>
      <c r="K236" s="65">
        <v>645800</v>
      </c>
      <c r="L236" s="58">
        <v>100</v>
      </c>
      <c r="M236" s="20"/>
      <c r="N236" s="20"/>
      <c r="O236" s="20">
        <f>645800</f>
        <v>645800</v>
      </c>
      <c r="P236" s="20"/>
      <c r="Q236" s="20">
        <f>590754.06-590754.06</f>
        <v>0</v>
      </c>
      <c r="R236" s="20"/>
      <c r="S236" s="20"/>
      <c r="T236" s="20"/>
      <c r="U236" s="20"/>
      <c r="V236" s="20">
        <f>55045.94-55045.94</f>
        <v>0</v>
      </c>
      <c r="W236" s="20"/>
      <c r="X236" s="20"/>
      <c r="Y236" s="118">
        <f t="shared" si="30"/>
        <v>0</v>
      </c>
      <c r="Z236" s="24">
        <f>645779</f>
        <v>645779</v>
      </c>
      <c r="AA236" s="118">
        <f t="shared" si="28"/>
        <v>21</v>
      </c>
      <c r="AB236" s="118"/>
      <c r="AC236" s="24"/>
      <c r="AD236" s="118">
        <f t="shared" si="29"/>
        <v>21</v>
      </c>
    </row>
    <row r="237" spans="1:30" ht="46.5">
      <c r="A237" s="169"/>
      <c r="B237" s="169"/>
      <c r="C237" s="169"/>
      <c r="D237" s="166"/>
      <c r="E237" s="19" t="s">
        <v>555</v>
      </c>
      <c r="F237" s="96">
        <v>2173</v>
      </c>
      <c r="G237" s="58">
        <v>2020</v>
      </c>
      <c r="H237" s="65">
        <v>1482650</v>
      </c>
      <c r="I237" s="58">
        <v>0</v>
      </c>
      <c r="J237" s="58">
        <v>3132</v>
      </c>
      <c r="K237" s="65">
        <v>1482650</v>
      </c>
      <c r="L237" s="58">
        <v>100</v>
      </c>
      <c r="M237" s="20"/>
      <c r="N237" s="20"/>
      <c r="O237" s="20">
        <f>800000</f>
        <v>800000</v>
      </c>
      <c r="P237" s="20"/>
      <c r="Q237" s="20">
        <f>300000-100000</f>
        <v>200000</v>
      </c>
      <c r="R237" s="20">
        <f>-58000-341000</f>
        <v>-399000</v>
      </c>
      <c r="S237" s="20"/>
      <c r="T237" s="20">
        <f>58000+270000</f>
        <v>328000</v>
      </c>
      <c r="U237" s="20">
        <v>482650</v>
      </c>
      <c r="V237" s="20">
        <f>71000</f>
        <v>71000</v>
      </c>
      <c r="W237" s="20">
        <f>700000-700000</f>
        <v>0</v>
      </c>
      <c r="X237" s="20"/>
      <c r="Y237" s="118">
        <f t="shared" si="30"/>
        <v>0</v>
      </c>
      <c r="Z237" s="24">
        <f>600423.8</f>
        <v>600423.8</v>
      </c>
      <c r="AA237" s="118">
        <f t="shared" si="28"/>
        <v>576.1999999999534</v>
      </c>
      <c r="AB237" s="118"/>
      <c r="AC237" s="24"/>
      <c r="AD237" s="118">
        <f t="shared" si="29"/>
        <v>882226.2</v>
      </c>
    </row>
    <row r="238" spans="1:30" ht="30.75">
      <c r="A238" s="169"/>
      <c r="B238" s="169"/>
      <c r="C238" s="169"/>
      <c r="D238" s="166"/>
      <c r="E238" s="26" t="s">
        <v>557</v>
      </c>
      <c r="F238" s="96">
        <v>2174</v>
      </c>
      <c r="G238" s="58" t="s">
        <v>201</v>
      </c>
      <c r="H238" s="20">
        <v>1500000</v>
      </c>
      <c r="I238" s="58">
        <v>13</v>
      </c>
      <c r="J238" s="58">
        <v>3132</v>
      </c>
      <c r="K238" s="20">
        <v>1300000</v>
      </c>
      <c r="L238" s="58">
        <v>100</v>
      </c>
      <c r="M238" s="20"/>
      <c r="N238" s="20"/>
      <c r="O238" s="20"/>
      <c r="P238" s="20"/>
      <c r="Q238" s="20">
        <f>310000+50000</f>
        <v>360000</v>
      </c>
      <c r="R238" s="20"/>
      <c r="S238" s="20">
        <f>435000</f>
        <v>435000</v>
      </c>
      <c r="T238" s="20"/>
      <c r="U238" s="20">
        <f>300000-50000-250000</f>
        <v>0</v>
      </c>
      <c r="V238" s="20">
        <f>300000-185000</f>
        <v>115000</v>
      </c>
      <c r="W238" s="20">
        <v>390000</v>
      </c>
      <c r="X238" s="20"/>
      <c r="Y238" s="118">
        <f t="shared" si="30"/>
        <v>0</v>
      </c>
      <c r="Z238" s="24">
        <f>215398.8+142326+419871.6</f>
        <v>777596.3999999999</v>
      </c>
      <c r="AA238" s="118">
        <f t="shared" si="28"/>
        <v>17403.600000000093</v>
      </c>
      <c r="AB238" s="118"/>
      <c r="AC238" s="24"/>
      <c r="AD238" s="118">
        <f t="shared" si="29"/>
        <v>522403.6000000001</v>
      </c>
    </row>
    <row r="239" spans="1:30" ht="30.75">
      <c r="A239" s="169"/>
      <c r="B239" s="169"/>
      <c r="C239" s="169"/>
      <c r="D239" s="166"/>
      <c r="E239" s="26" t="s">
        <v>814</v>
      </c>
      <c r="F239" s="96">
        <v>2578</v>
      </c>
      <c r="G239" s="58"/>
      <c r="H239" s="20"/>
      <c r="I239" s="58"/>
      <c r="J239" s="58">
        <v>3132</v>
      </c>
      <c r="K239" s="20">
        <f>30000</f>
        <v>30000</v>
      </c>
      <c r="L239" s="58"/>
      <c r="M239" s="20"/>
      <c r="N239" s="20"/>
      <c r="O239" s="20">
        <v>30000</v>
      </c>
      <c r="P239" s="20"/>
      <c r="Q239" s="20"/>
      <c r="R239" s="20"/>
      <c r="S239" s="20"/>
      <c r="T239" s="20"/>
      <c r="U239" s="20"/>
      <c r="V239" s="20"/>
      <c r="W239" s="20"/>
      <c r="X239" s="20">
        <f>30000-30000</f>
        <v>0</v>
      </c>
      <c r="Y239" s="118">
        <f t="shared" si="30"/>
        <v>0</v>
      </c>
      <c r="Z239" s="24"/>
      <c r="AA239" s="118">
        <f t="shared" si="28"/>
        <v>30000</v>
      </c>
      <c r="AB239" s="118"/>
      <c r="AC239" s="24"/>
      <c r="AD239" s="118">
        <f t="shared" si="29"/>
        <v>30000</v>
      </c>
    </row>
    <row r="240" spans="1:30" ht="30.75">
      <c r="A240" s="169"/>
      <c r="B240" s="169"/>
      <c r="C240" s="169"/>
      <c r="D240" s="166"/>
      <c r="E240" s="26" t="s">
        <v>559</v>
      </c>
      <c r="F240" s="96">
        <v>2196</v>
      </c>
      <c r="G240" s="58">
        <v>2020</v>
      </c>
      <c r="H240" s="20">
        <v>300000</v>
      </c>
      <c r="I240" s="58">
        <v>0</v>
      </c>
      <c r="J240" s="58">
        <v>3132</v>
      </c>
      <c r="K240" s="20">
        <v>300000</v>
      </c>
      <c r="L240" s="58"/>
      <c r="M240" s="20"/>
      <c r="N240" s="20"/>
      <c r="O240" s="20">
        <f>300000</f>
        <v>300000</v>
      </c>
      <c r="P240" s="20"/>
      <c r="Q240" s="20"/>
      <c r="R240" s="20"/>
      <c r="S240" s="20">
        <f>150000-150000</f>
        <v>0</v>
      </c>
      <c r="T240" s="20"/>
      <c r="U240" s="20"/>
      <c r="V240" s="20">
        <f>150000-150000</f>
        <v>0</v>
      </c>
      <c r="W240" s="20"/>
      <c r="X240" s="20"/>
      <c r="Y240" s="118">
        <f t="shared" si="30"/>
        <v>0</v>
      </c>
      <c r="Z240" s="24">
        <f>299998</f>
        <v>299998</v>
      </c>
      <c r="AA240" s="118">
        <f t="shared" si="28"/>
        <v>2</v>
      </c>
      <c r="AB240" s="118"/>
      <c r="AC240" s="24"/>
      <c r="AD240" s="118">
        <f t="shared" si="29"/>
        <v>2</v>
      </c>
    </row>
    <row r="241" spans="1:30" ht="30.75">
      <c r="A241" s="169"/>
      <c r="B241" s="169"/>
      <c r="C241" s="169"/>
      <c r="D241" s="166"/>
      <c r="E241" s="26" t="s">
        <v>560</v>
      </c>
      <c r="F241" s="96">
        <v>2197</v>
      </c>
      <c r="G241" s="58" t="s">
        <v>201</v>
      </c>
      <c r="H241" s="20">
        <v>300000</v>
      </c>
      <c r="I241" s="58">
        <v>82</v>
      </c>
      <c r="J241" s="58">
        <v>3132</v>
      </c>
      <c r="K241" s="20">
        <v>54196</v>
      </c>
      <c r="L241" s="58"/>
      <c r="M241" s="20"/>
      <c r="N241" s="20"/>
      <c r="O241" s="20">
        <f>54196</f>
        <v>54196</v>
      </c>
      <c r="P241" s="20"/>
      <c r="Q241" s="20"/>
      <c r="R241" s="20"/>
      <c r="S241" s="20"/>
      <c r="T241" s="20"/>
      <c r="U241" s="20"/>
      <c r="V241" s="20"/>
      <c r="W241" s="20">
        <f>54196-54196</f>
        <v>0</v>
      </c>
      <c r="X241" s="20"/>
      <c r="Y241" s="118">
        <f t="shared" si="30"/>
        <v>0</v>
      </c>
      <c r="Z241" s="24"/>
      <c r="AA241" s="118">
        <f t="shared" si="28"/>
        <v>54196</v>
      </c>
      <c r="AB241" s="118"/>
      <c r="AC241" s="24"/>
      <c r="AD241" s="118">
        <f t="shared" si="29"/>
        <v>54196</v>
      </c>
    </row>
    <row r="242" spans="1:30" ht="30.75">
      <c r="A242" s="169"/>
      <c r="B242" s="169"/>
      <c r="C242" s="169"/>
      <c r="D242" s="166"/>
      <c r="E242" s="26" t="s">
        <v>561</v>
      </c>
      <c r="F242" s="96">
        <v>2198</v>
      </c>
      <c r="G242" s="58" t="s">
        <v>201</v>
      </c>
      <c r="H242" s="20">
        <v>1190000</v>
      </c>
      <c r="I242" s="58">
        <v>61</v>
      </c>
      <c r="J242" s="58">
        <v>3132</v>
      </c>
      <c r="K242" s="20">
        <v>459178.4</v>
      </c>
      <c r="L242" s="58"/>
      <c r="M242" s="20"/>
      <c r="N242" s="20"/>
      <c r="O242" s="20"/>
      <c r="P242" s="20"/>
      <c r="Q242" s="20"/>
      <c r="R242" s="20"/>
      <c r="S242" s="20">
        <v>229178.4</v>
      </c>
      <c r="T242" s="20"/>
      <c r="U242" s="20"/>
      <c r="V242" s="20">
        <v>69891.07</v>
      </c>
      <c r="W242" s="20">
        <v>160108.93</v>
      </c>
      <c r="X242" s="20"/>
      <c r="Y242" s="118">
        <f t="shared" si="30"/>
        <v>2.9103830456733704E-11</v>
      </c>
      <c r="Z242" s="24"/>
      <c r="AA242" s="118">
        <f t="shared" si="28"/>
        <v>229178.4</v>
      </c>
      <c r="AB242" s="118"/>
      <c r="AC242" s="24"/>
      <c r="AD242" s="118">
        <f t="shared" si="29"/>
        <v>459178.4</v>
      </c>
    </row>
    <row r="243" spans="1:30" ht="30.75">
      <c r="A243" s="169"/>
      <c r="B243" s="169"/>
      <c r="C243" s="169"/>
      <c r="D243" s="166"/>
      <c r="E243" s="26" t="s">
        <v>562</v>
      </c>
      <c r="F243" s="96">
        <v>2199</v>
      </c>
      <c r="G243" s="58" t="s">
        <v>201</v>
      </c>
      <c r="H243" s="20">
        <v>300000</v>
      </c>
      <c r="I243" s="58">
        <v>54</v>
      </c>
      <c r="J243" s="58">
        <v>3132</v>
      </c>
      <c r="K243" s="20">
        <v>137648.6</v>
      </c>
      <c r="L243" s="58"/>
      <c r="M243" s="20"/>
      <c r="N243" s="20"/>
      <c r="O243" s="20"/>
      <c r="P243" s="20"/>
      <c r="Q243" s="20"/>
      <c r="R243" s="20"/>
      <c r="S243" s="20"/>
      <c r="T243" s="20">
        <v>67648.6</v>
      </c>
      <c r="U243" s="20"/>
      <c r="V243" s="20"/>
      <c r="W243" s="20">
        <v>70000</v>
      </c>
      <c r="X243" s="20"/>
      <c r="Y243" s="118">
        <f t="shared" si="30"/>
        <v>0</v>
      </c>
      <c r="Z243" s="24"/>
      <c r="AA243" s="118">
        <f t="shared" si="28"/>
        <v>0</v>
      </c>
      <c r="AB243" s="118"/>
      <c r="AC243" s="24"/>
      <c r="AD243" s="118">
        <f t="shared" si="29"/>
        <v>137648.6</v>
      </c>
    </row>
    <row r="244" spans="1:30" ht="30.75">
      <c r="A244" s="169"/>
      <c r="B244" s="169"/>
      <c r="C244" s="169"/>
      <c r="D244" s="166"/>
      <c r="E244" s="26" t="s">
        <v>563</v>
      </c>
      <c r="F244" s="96">
        <v>2200</v>
      </c>
      <c r="G244" s="58">
        <v>2020</v>
      </c>
      <c r="H244" s="20">
        <v>990000</v>
      </c>
      <c r="I244" s="58">
        <v>0</v>
      </c>
      <c r="J244" s="58">
        <v>3132</v>
      </c>
      <c r="K244" s="20">
        <f>990000+215937</f>
        <v>1205937</v>
      </c>
      <c r="L244" s="58"/>
      <c r="M244" s="20"/>
      <c r="N244" s="20"/>
      <c r="O244" s="20">
        <f>600000</f>
        <v>600000</v>
      </c>
      <c r="P244" s="20"/>
      <c r="Q244" s="20"/>
      <c r="R244" s="20"/>
      <c r="S244" s="20"/>
      <c r="T244" s="20"/>
      <c r="U244" s="20"/>
      <c r="V244" s="20">
        <f>500000-500000+215937</f>
        <v>215937</v>
      </c>
      <c r="W244" s="20">
        <f>490000-100000</f>
        <v>390000</v>
      </c>
      <c r="X244" s="20"/>
      <c r="Y244" s="118">
        <f t="shared" si="30"/>
        <v>0</v>
      </c>
      <c r="Z244" s="24">
        <f>495000</f>
        <v>495000</v>
      </c>
      <c r="AA244" s="118">
        <f t="shared" si="28"/>
        <v>105000</v>
      </c>
      <c r="AB244" s="118"/>
      <c r="AC244" s="24"/>
      <c r="AD244" s="118">
        <f t="shared" si="29"/>
        <v>710937</v>
      </c>
    </row>
    <row r="245" spans="1:30" ht="21">
      <c r="A245" s="169"/>
      <c r="B245" s="169"/>
      <c r="C245" s="169"/>
      <c r="D245" s="166"/>
      <c r="E245" s="26" t="s">
        <v>558</v>
      </c>
      <c r="F245" s="96">
        <v>2203</v>
      </c>
      <c r="G245" s="58">
        <v>2020</v>
      </c>
      <c r="H245" s="20">
        <v>1100000</v>
      </c>
      <c r="I245" s="58">
        <v>0</v>
      </c>
      <c r="J245" s="58">
        <v>3142</v>
      </c>
      <c r="K245" s="20">
        <f>1100000-1080000</f>
        <v>20000</v>
      </c>
      <c r="L245" s="58">
        <v>100</v>
      </c>
      <c r="M245" s="20"/>
      <c r="N245" s="20"/>
      <c r="O245" s="20"/>
      <c r="P245" s="20"/>
      <c r="Q245" s="20"/>
      <c r="R245" s="20"/>
      <c r="S245" s="20"/>
      <c r="T245" s="20"/>
      <c r="U245" s="20"/>
      <c r="V245" s="20">
        <f>600000-600000</f>
        <v>0</v>
      </c>
      <c r="W245" s="20">
        <f>300000-300000</f>
        <v>0</v>
      </c>
      <c r="X245" s="20">
        <f>200000-180000</f>
        <v>20000</v>
      </c>
      <c r="Y245" s="118">
        <f t="shared" si="30"/>
        <v>0</v>
      </c>
      <c r="Z245" s="24"/>
      <c r="AA245" s="118">
        <f t="shared" si="28"/>
        <v>0</v>
      </c>
      <c r="AB245" s="118"/>
      <c r="AC245" s="24"/>
      <c r="AD245" s="118">
        <f t="shared" si="29"/>
        <v>20000</v>
      </c>
    </row>
    <row r="246" spans="1:30" ht="30.75" hidden="1">
      <c r="A246" s="169"/>
      <c r="B246" s="169"/>
      <c r="C246" s="169"/>
      <c r="D246" s="166"/>
      <c r="E246" s="28" t="s">
        <v>452</v>
      </c>
      <c r="F246" s="96">
        <v>2175</v>
      </c>
      <c r="G246" s="58">
        <v>2020</v>
      </c>
      <c r="H246" s="20">
        <v>20000</v>
      </c>
      <c r="I246" s="58">
        <v>0</v>
      </c>
      <c r="J246" s="58">
        <v>3142</v>
      </c>
      <c r="K246" s="20">
        <f>20000-20000</f>
        <v>0</v>
      </c>
      <c r="L246" s="58">
        <v>100</v>
      </c>
      <c r="M246" s="20"/>
      <c r="N246" s="20"/>
      <c r="O246" s="20"/>
      <c r="P246" s="20"/>
      <c r="Q246" s="20"/>
      <c r="R246" s="20"/>
      <c r="S246" s="20"/>
      <c r="T246" s="20"/>
      <c r="U246" s="20">
        <f>20000-20000</f>
        <v>0</v>
      </c>
      <c r="V246" s="20"/>
      <c r="W246" s="20"/>
      <c r="X246" s="20"/>
      <c r="Y246" s="118">
        <f t="shared" si="30"/>
        <v>0</v>
      </c>
      <c r="Z246" s="24"/>
      <c r="AA246" s="118">
        <f t="shared" si="28"/>
        <v>0</v>
      </c>
      <c r="AB246" s="118"/>
      <c r="AC246" s="24"/>
      <c r="AD246" s="118">
        <f t="shared" si="29"/>
        <v>0</v>
      </c>
    </row>
    <row r="247" spans="1:30" ht="46.5">
      <c r="A247" s="169"/>
      <c r="B247" s="169"/>
      <c r="C247" s="169"/>
      <c r="D247" s="166"/>
      <c r="E247" s="19" t="s">
        <v>455</v>
      </c>
      <c r="F247" s="96">
        <v>2176</v>
      </c>
      <c r="G247" s="58">
        <v>2020</v>
      </c>
      <c r="H247" s="20">
        <v>1160000</v>
      </c>
      <c r="I247" s="58">
        <v>0</v>
      </c>
      <c r="J247" s="58">
        <v>3142</v>
      </c>
      <c r="K247" s="20">
        <f>1160000-759982.8-160000</f>
        <v>240017.19999999995</v>
      </c>
      <c r="L247" s="58">
        <v>100</v>
      </c>
      <c r="M247" s="20"/>
      <c r="N247" s="20"/>
      <c r="O247" s="20"/>
      <c r="P247" s="20"/>
      <c r="Q247" s="20">
        <f>240017.2</f>
        <v>240017.2</v>
      </c>
      <c r="R247" s="20"/>
      <c r="S247" s="20"/>
      <c r="T247" s="20"/>
      <c r="U247" s="20"/>
      <c r="V247" s="20">
        <f>800000-759982.8-40017.2</f>
        <v>0</v>
      </c>
      <c r="W247" s="20">
        <f>360000-160000-200000</f>
        <v>0</v>
      </c>
      <c r="X247" s="20"/>
      <c r="Y247" s="118">
        <f t="shared" si="30"/>
        <v>-5.820766091346741E-11</v>
      </c>
      <c r="Z247" s="24">
        <f>100000+41608.42</f>
        <v>141608.41999999998</v>
      </c>
      <c r="AA247" s="118">
        <f t="shared" si="28"/>
        <v>98408.78000000003</v>
      </c>
      <c r="AB247" s="118"/>
      <c r="AC247" s="24"/>
      <c r="AD247" s="118">
        <f t="shared" si="29"/>
        <v>98408.77999999997</v>
      </c>
    </row>
    <row r="248" spans="1:30" ht="21">
      <c r="A248" s="169"/>
      <c r="B248" s="169"/>
      <c r="C248" s="169"/>
      <c r="D248" s="166"/>
      <c r="E248" s="19" t="s">
        <v>703</v>
      </c>
      <c r="F248" s="96">
        <v>2177</v>
      </c>
      <c r="G248" s="58">
        <v>2020</v>
      </c>
      <c r="H248" s="20">
        <v>120000</v>
      </c>
      <c r="I248" s="58">
        <v>0</v>
      </c>
      <c r="J248" s="58">
        <v>3142</v>
      </c>
      <c r="K248" s="20">
        <v>120000</v>
      </c>
      <c r="L248" s="58">
        <v>100</v>
      </c>
      <c r="M248" s="20"/>
      <c r="N248" s="20"/>
      <c r="O248" s="20"/>
      <c r="P248" s="20"/>
      <c r="Q248" s="20"/>
      <c r="R248" s="20"/>
      <c r="S248" s="20"/>
      <c r="T248" s="20">
        <v>120000</v>
      </c>
      <c r="U248" s="20"/>
      <c r="V248" s="20"/>
      <c r="W248" s="20"/>
      <c r="X248" s="20"/>
      <c r="Y248" s="118">
        <f t="shared" si="30"/>
        <v>0</v>
      </c>
      <c r="Z248" s="24"/>
      <c r="AA248" s="118">
        <f t="shared" si="28"/>
        <v>0</v>
      </c>
      <c r="AB248" s="118"/>
      <c r="AC248" s="24"/>
      <c r="AD248" s="118">
        <f t="shared" si="29"/>
        <v>120000</v>
      </c>
    </row>
    <row r="249" spans="1:30" ht="21">
      <c r="A249" s="169"/>
      <c r="B249" s="169"/>
      <c r="C249" s="169"/>
      <c r="D249" s="166"/>
      <c r="E249" s="19" t="s">
        <v>881</v>
      </c>
      <c r="F249" s="96">
        <v>2609</v>
      </c>
      <c r="G249" s="58"/>
      <c r="H249" s="20"/>
      <c r="I249" s="58"/>
      <c r="J249" s="58">
        <v>3142</v>
      </c>
      <c r="K249" s="20">
        <v>100000</v>
      </c>
      <c r="L249" s="58"/>
      <c r="M249" s="20"/>
      <c r="N249" s="20"/>
      <c r="O249" s="20"/>
      <c r="P249" s="20"/>
      <c r="Q249" s="20">
        <f>100000</f>
        <v>100000</v>
      </c>
      <c r="R249" s="20"/>
      <c r="S249" s="20"/>
      <c r="T249" s="20"/>
      <c r="U249" s="20"/>
      <c r="V249" s="20"/>
      <c r="W249" s="20"/>
      <c r="X249" s="20"/>
      <c r="Y249" s="118">
        <f>K249-M249-N249-O249-P249-Q249-R249-S249-T249-U249-V249-W249-X249</f>
        <v>0</v>
      </c>
      <c r="Z249" s="24">
        <f>69533</f>
        <v>69533</v>
      </c>
      <c r="AA249" s="118">
        <f t="shared" si="28"/>
        <v>30467</v>
      </c>
      <c r="AB249" s="118"/>
      <c r="AC249" s="24"/>
      <c r="AD249" s="118">
        <f t="shared" si="29"/>
        <v>30467</v>
      </c>
    </row>
    <row r="250" spans="1:30" ht="21">
      <c r="A250" s="169"/>
      <c r="B250" s="169"/>
      <c r="C250" s="169"/>
      <c r="D250" s="166"/>
      <c r="E250" s="19" t="s">
        <v>453</v>
      </c>
      <c r="F250" s="96">
        <v>2178</v>
      </c>
      <c r="G250" s="58">
        <v>2020</v>
      </c>
      <c r="H250" s="20">
        <v>1500000</v>
      </c>
      <c r="I250" s="58">
        <v>0</v>
      </c>
      <c r="J250" s="58">
        <v>3142</v>
      </c>
      <c r="K250" s="20">
        <f>1500000+547307.6</f>
        <v>2047307.6</v>
      </c>
      <c r="L250" s="58">
        <v>100</v>
      </c>
      <c r="M250" s="20"/>
      <c r="N250" s="20"/>
      <c r="O250" s="20">
        <v>50000</v>
      </c>
      <c r="P250" s="20">
        <v>750000.01</v>
      </c>
      <c r="Q250" s="20"/>
      <c r="R250" s="20">
        <f>-122000</f>
        <v>-122000</v>
      </c>
      <c r="S250" s="20"/>
      <c r="T250" s="20">
        <f>122000+270000</f>
        <v>392000</v>
      </c>
      <c r="U250" s="20"/>
      <c r="V250" s="20">
        <f>300000+277307.6</f>
        <v>577307.6</v>
      </c>
      <c r="W250" s="20">
        <f>400000-0.01</f>
        <v>399999.99</v>
      </c>
      <c r="X250" s="20"/>
      <c r="Y250" s="118">
        <f t="shared" si="30"/>
        <v>1.1641532182693481E-10</v>
      </c>
      <c r="Z250" s="24">
        <f>677625</f>
        <v>677625</v>
      </c>
      <c r="AA250" s="118">
        <f t="shared" si="28"/>
        <v>375.0100000000093</v>
      </c>
      <c r="AB250" s="118"/>
      <c r="AC250" s="24"/>
      <c r="AD250" s="118">
        <f t="shared" si="29"/>
        <v>1369682.6</v>
      </c>
    </row>
    <row r="251" spans="1:30" ht="21" hidden="1">
      <c r="A251" s="169"/>
      <c r="B251" s="169"/>
      <c r="C251" s="169"/>
      <c r="D251" s="166"/>
      <c r="E251" s="26" t="s">
        <v>453</v>
      </c>
      <c r="F251" s="96">
        <v>2179</v>
      </c>
      <c r="G251" s="58" t="s">
        <v>201</v>
      </c>
      <c r="H251" s="20">
        <v>1255550</v>
      </c>
      <c r="I251" s="58">
        <v>56</v>
      </c>
      <c r="J251" s="58">
        <v>3142</v>
      </c>
      <c r="K251" s="20">
        <f>547307.6-547307.6</f>
        <v>0</v>
      </c>
      <c r="L251" s="58">
        <v>100</v>
      </c>
      <c r="M251" s="20"/>
      <c r="N251" s="20"/>
      <c r="O251" s="20"/>
      <c r="P251" s="20"/>
      <c r="Q251" s="20">
        <v>270000</v>
      </c>
      <c r="R251" s="20">
        <f>-270000</f>
        <v>-270000</v>
      </c>
      <c r="S251" s="20"/>
      <c r="T251" s="20">
        <f>270000-270000</f>
        <v>0</v>
      </c>
      <c r="U251" s="20"/>
      <c r="V251" s="20">
        <f>277307.6-277307.6</f>
        <v>0</v>
      </c>
      <c r="W251" s="20"/>
      <c r="X251" s="20"/>
      <c r="Y251" s="118">
        <f t="shared" si="30"/>
        <v>0</v>
      </c>
      <c r="Z251" s="24"/>
      <c r="AA251" s="118">
        <f t="shared" si="28"/>
        <v>0</v>
      </c>
      <c r="AB251" s="118"/>
      <c r="AC251" s="24"/>
      <c r="AD251" s="118">
        <f t="shared" si="29"/>
        <v>0</v>
      </c>
    </row>
    <row r="252" spans="1:30" ht="21">
      <c r="A252" s="169"/>
      <c r="B252" s="169"/>
      <c r="C252" s="169"/>
      <c r="D252" s="166"/>
      <c r="E252" s="26" t="s">
        <v>461</v>
      </c>
      <c r="F252" s="96">
        <v>2180</v>
      </c>
      <c r="G252" s="58">
        <v>2020</v>
      </c>
      <c r="H252" s="20">
        <v>800000</v>
      </c>
      <c r="I252" s="58">
        <v>0</v>
      </c>
      <c r="J252" s="58">
        <v>3142</v>
      </c>
      <c r="K252" s="20">
        <f>900000-100000</f>
        <v>800000</v>
      </c>
      <c r="L252" s="58">
        <v>100</v>
      </c>
      <c r="M252" s="20"/>
      <c r="N252" s="20"/>
      <c r="O252" s="20">
        <f>560000</f>
        <v>560000</v>
      </c>
      <c r="P252" s="20"/>
      <c r="Q252" s="20"/>
      <c r="R252" s="20"/>
      <c r="S252" s="20">
        <f>600000-560000</f>
        <v>40000</v>
      </c>
      <c r="T252" s="20"/>
      <c r="U252" s="20"/>
      <c r="V252" s="20">
        <v>200000</v>
      </c>
      <c r="W252" s="20"/>
      <c r="X252" s="20"/>
      <c r="Y252" s="118">
        <f t="shared" si="30"/>
        <v>0</v>
      </c>
      <c r="Z252" s="24">
        <f>549795.49</f>
        <v>549795.49</v>
      </c>
      <c r="AA252" s="118">
        <f t="shared" si="28"/>
        <v>50204.51000000001</v>
      </c>
      <c r="AB252" s="118"/>
      <c r="AC252" s="24"/>
      <c r="AD252" s="118">
        <f t="shared" si="29"/>
        <v>250204.51</v>
      </c>
    </row>
    <row r="253" spans="1:30" ht="21">
      <c r="A253" s="169"/>
      <c r="B253" s="169"/>
      <c r="C253" s="169"/>
      <c r="D253" s="166"/>
      <c r="E253" s="26" t="s">
        <v>458</v>
      </c>
      <c r="F253" s="96">
        <v>2181</v>
      </c>
      <c r="G253" s="58" t="s">
        <v>201</v>
      </c>
      <c r="H253" s="20">
        <v>1344000</v>
      </c>
      <c r="I253" s="58">
        <v>99</v>
      </c>
      <c r="J253" s="58">
        <v>3142</v>
      </c>
      <c r="K253" s="20">
        <v>17510</v>
      </c>
      <c r="L253" s="58">
        <v>100</v>
      </c>
      <c r="M253" s="20"/>
      <c r="N253" s="20"/>
      <c r="O253" s="20"/>
      <c r="P253" s="20"/>
      <c r="Q253" s="20"/>
      <c r="R253" s="20"/>
      <c r="S253" s="20">
        <v>12295.08</v>
      </c>
      <c r="T253" s="20"/>
      <c r="U253" s="20"/>
      <c r="V253" s="20"/>
      <c r="W253" s="20">
        <v>5214.92</v>
      </c>
      <c r="X253" s="20"/>
      <c r="Y253" s="118">
        <f t="shared" si="30"/>
        <v>0</v>
      </c>
      <c r="Z253" s="24"/>
      <c r="AA253" s="118">
        <f t="shared" si="28"/>
        <v>12295.08</v>
      </c>
      <c r="AB253" s="118"/>
      <c r="AC253" s="24"/>
      <c r="AD253" s="118">
        <f t="shared" si="29"/>
        <v>17510</v>
      </c>
    </row>
    <row r="254" spans="1:30" ht="46.5">
      <c r="A254" s="169"/>
      <c r="B254" s="169"/>
      <c r="C254" s="169"/>
      <c r="D254" s="166"/>
      <c r="E254" s="19" t="s">
        <v>454</v>
      </c>
      <c r="F254" s="96">
        <v>2182</v>
      </c>
      <c r="G254" s="58">
        <v>2020</v>
      </c>
      <c r="H254" s="20">
        <v>1200000</v>
      </c>
      <c r="I254" s="58">
        <v>0</v>
      </c>
      <c r="J254" s="58">
        <v>3142</v>
      </c>
      <c r="K254" s="20">
        <f>1200000-1195000</f>
        <v>5000</v>
      </c>
      <c r="L254" s="58">
        <v>100</v>
      </c>
      <c r="M254" s="20"/>
      <c r="N254" s="20"/>
      <c r="O254" s="20"/>
      <c r="P254" s="20"/>
      <c r="Q254" s="20"/>
      <c r="R254" s="20"/>
      <c r="S254" s="20"/>
      <c r="T254" s="20">
        <f>662315.41-657315.41</f>
        <v>5000</v>
      </c>
      <c r="U254" s="20"/>
      <c r="V254" s="20"/>
      <c r="W254" s="20">
        <f>537684.59-537684.59</f>
        <v>0</v>
      </c>
      <c r="X254" s="20"/>
      <c r="Y254" s="118">
        <f t="shared" si="30"/>
        <v>0</v>
      </c>
      <c r="Z254" s="24"/>
      <c r="AA254" s="118">
        <f t="shared" si="28"/>
        <v>0</v>
      </c>
      <c r="AB254" s="118"/>
      <c r="AC254" s="24"/>
      <c r="AD254" s="118">
        <f t="shared" si="29"/>
        <v>5000</v>
      </c>
    </row>
    <row r="255" spans="1:30" ht="21">
      <c r="A255" s="169"/>
      <c r="B255" s="169"/>
      <c r="C255" s="169"/>
      <c r="D255" s="166"/>
      <c r="E255" s="19" t="s">
        <v>809</v>
      </c>
      <c r="F255" s="96">
        <v>2573</v>
      </c>
      <c r="G255" s="58"/>
      <c r="H255" s="20"/>
      <c r="I255" s="58"/>
      <c r="J255" s="58">
        <v>3142</v>
      </c>
      <c r="K255" s="20">
        <v>1500000</v>
      </c>
      <c r="L255" s="58"/>
      <c r="M255" s="20"/>
      <c r="N255" s="20"/>
      <c r="O255" s="20"/>
      <c r="P255" s="20"/>
      <c r="Q255" s="20"/>
      <c r="R255" s="20"/>
      <c r="S255" s="20">
        <f>692000</f>
        <v>692000</v>
      </c>
      <c r="T255" s="20">
        <f>750000-692000</f>
        <v>58000</v>
      </c>
      <c r="U255" s="20"/>
      <c r="V255" s="20">
        <f>400000</f>
        <v>400000</v>
      </c>
      <c r="W255" s="20"/>
      <c r="X255" s="20">
        <f>350000</f>
        <v>350000</v>
      </c>
      <c r="Y255" s="118">
        <f t="shared" si="30"/>
        <v>0</v>
      </c>
      <c r="Z255" s="24">
        <f>691530</f>
        <v>691530</v>
      </c>
      <c r="AA255" s="118">
        <f t="shared" si="28"/>
        <v>470</v>
      </c>
      <c r="AB255" s="118"/>
      <c r="AC255" s="24"/>
      <c r="AD255" s="118">
        <f t="shared" si="29"/>
        <v>808470</v>
      </c>
    </row>
    <row r="256" spans="1:30" ht="21">
      <c r="A256" s="169"/>
      <c r="B256" s="169"/>
      <c r="C256" s="169"/>
      <c r="D256" s="166"/>
      <c r="E256" s="19" t="s">
        <v>698</v>
      </c>
      <c r="F256" s="96">
        <v>2183</v>
      </c>
      <c r="G256" s="58">
        <v>2020</v>
      </c>
      <c r="H256" s="20">
        <v>1250000</v>
      </c>
      <c r="I256" s="58">
        <v>0</v>
      </c>
      <c r="J256" s="58">
        <v>3142</v>
      </c>
      <c r="K256" s="20">
        <f>1000000+250000</f>
        <v>1250000</v>
      </c>
      <c r="L256" s="58">
        <v>100</v>
      </c>
      <c r="M256" s="20"/>
      <c r="N256" s="20"/>
      <c r="O256" s="20"/>
      <c r="P256" s="20"/>
      <c r="Q256" s="20"/>
      <c r="R256" s="20"/>
      <c r="S256" s="20"/>
      <c r="T256" s="20">
        <v>200000</v>
      </c>
      <c r="U256" s="20"/>
      <c r="V256" s="20">
        <v>490000</v>
      </c>
      <c r="W256" s="20">
        <v>560000</v>
      </c>
      <c r="X256" s="20"/>
      <c r="Y256" s="118">
        <f t="shared" si="30"/>
        <v>0</v>
      </c>
      <c r="Z256" s="24"/>
      <c r="AA256" s="118">
        <f t="shared" si="28"/>
        <v>0</v>
      </c>
      <c r="AB256" s="118"/>
      <c r="AC256" s="24"/>
      <c r="AD256" s="118">
        <f t="shared" si="29"/>
        <v>1250000</v>
      </c>
    </row>
    <row r="257" spans="1:30" ht="21">
      <c r="A257" s="169"/>
      <c r="B257" s="169"/>
      <c r="C257" s="169"/>
      <c r="D257" s="166"/>
      <c r="E257" s="19" t="s">
        <v>456</v>
      </c>
      <c r="F257" s="96">
        <v>2184</v>
      </c>
      <c r="G257" s="58">
        <v>2020</v>
      </c>
      <c r="H257" s="20">
        <v>1500000</v>
      </c>
      <c r="I257" s="58">
        <v>0</v>
      </c>
      <c r="J257" s="58">
        <v>3142</v>
      </c>
      <c r="K257" s="20">
        <v>1500000</v>
      </c>
      <c r="L257" s="58">
        <v>100</v>
      </c>
      <c r="M257" s="20"/>
      <c r="N257" s="20"/>
      <c r="O257" s="20"/>
      <c r="P257" s="20"/>
      <c r="Q257" s="20"/>
      <c r="R257" s="20"/>
      <c r="S257" s="20"/>
      <c r="T257" s="20">
        <v>700000</v>
      </c>
      <c r="U257" s="20"/>
      <c r="V257" s="20">
        <v>250000</v>
      </c>
      <c r="W257" s="20">
        <v>350000</v>
      </c>
      <c r="X257" s="20">
        <v>200000</v>
      </c>
      <c r="Y257" s="118">
        <f t="shared" si="30"/>
        <v>0</v>
      </c>
      <c r="Z257" s="24"/>
      <c r="AA257" s="118">
        <f t="shared" si="28"/>
        <v>0</v>
      </c>
      <c r="AB257" s="118"/>
      <c r="AC257" s="24"/>
      <c r="AD257" s="118">
        <f t="shared" si="29"/>
        <v>1500000</v>
      </c>
    </row>
    <row r="258" spans="1:30" ht="30.75">
      <c r="A258" s="169"/>
      <c r="B258" s="169"/>
      <c r="C258" s="169"/>
      <c r="D258" s="166"/>
      <c r="E258" s="19" t="s">
        <v>696</v>
      </c>
      <c r="F258" s="96">
        <v>2185</v>
      </c>
      <c r="G258" s="58" t="s">
        <v>201</v>
      </c>
      <c r="H258" s="48">
        <v>1595085</v>
      </c>
      <c r="I258" s="58">
        <v>49</v>
      </c>
      <c r="J258" s="58">
        <v>3142</v>
      </c>
      <c r="K258" s="20">
        <v>809160</v>
      </c>
      <c r="L258" s="58">
        <v>100</v>
      </c>
      <c r="M258" s="20"/>
      <c r="N258" s="20"/>
      <c r="O258" s="20">
        <f>809160</f>
        <v>809160</v>
      </c>
      <c r="P258" s="20"/>
      <c r="Q258" s="20"/>
      <c r="R258" s="20"/>
      <c r="S258" s="20">
        <f>400000-400000</f>
        <v>0</v>
      </c>
      <c r="T258" s="20"/>
      <c r="U258" s="20"/>
      <c r="V258" s="20">
        <f>409160-409160</f>
        <v>0</v>
      </c>
      <c r="W258" s="20"/>
      <c r="X258" s="20"/>
      <c r="Y258" s="118">
        <f t="shared" si="30"/>
        <v>0</v>
      </c>
      <c r="Z258" s="24">
        <f>792253.83</f>
        <v>792253.83</v>
      </c>
      <c r="AA258" s="118">
        <f t="shared" si="28"/>
        <v>16906.170000000042</v>
      </c>
      <c r="AB258" s="118"/>
      <c r="AC258" s="24"/>
      <c r="AD258" s="118">
        <f t="shared" si="29"/>
        <v>16906.170000000042</v>
      </c>
    </row>
    <row r="259" spans="1:30" ht="21">
      <c r="A259" s="169"/>
      <c r="B259" s="169"/>
      <c r="C259" s="169"/>
      <c r="D259" s="166"/>
      <c r="E259" s="19" t="s">
        <v>812</v>
      </c>
      <c r="F259" s="96">
        <v>2576</v>
      </c>
      <c r="G259" s="58"/>
      <c r="H259" s="48"/>
      <c r="I259" s="58"/>
      <c r="J259" s="58">
        <v>3142</v>
      </c>
      <c r="K259" s="20">
        <v>1200000</v>
      </c>
      <c r="L259" s="58"/>
      <c r="M259" s="20"/>
      <c r="N259" s="20"/>
      <c r="O259" s="20">
        <f>200000</f>
        <v>200000</v>
      </c>
      <c r="P259" s="20"/>
      <c r="Q259" s="20"/>
      <c r="R259" s="20"/>
      <c r="S259" s="20"/>
      <c r="T259" s="20"/>
      <c r="U259" s="20"/>
      <c r="V259" s="20"/>
      <c r="W259" s="20"/>
      <c r="X259" s="20">
        <f>1200000-200000</f>
        <v>1000000</v>
      </c>
      <c r="Y259" s="118">
        <f t="shared" si="30"/>
        <v>0</v>
      </c>
      <c r="Z259" s="24">
        <f>192006</f>
        <v>192006</v>
      </c>
      <c r="AA259" s="118">
        <f t="shared" si="28"/>
        <v>7994</v>
      </c>
      <c r="AB259" s="118"/>
      <c r="AC259" s="24"/>
      <c r="AD259" s="118">
        <f t="shared" si="29"/>
        <v>1007994</v>
      </c>
    </row>
    <row r="260" spans="1:30" ht="30.75">
      <c r="A260" s="169"/>
      <c r="B260" s="169"/>
      <c r="C260" s="169"/>
      <c r="D260" s="166"/>
      <c r="E260" s="19" t="s">
        <v>657</v>
      </c>
      <c r="F260" s="96">
        <v>2186</v>
      </c>
      <c r="G260" s="58">
        <v>2020</v>
      </c>
      <c r="H260" s="20">
        <v>1340000</v>
      </c>
      <c r="I260" s="58">
        <v>0</v>
      </c>
      <c r="J260" s="58">
        <v>3142</v>
      </c>
      <c r="K260" s="20">
        <v>1340000</v>
      </c>
      <c r="L260" s="58">
        <v>100</v>
      </c>
      <c r="M260" s="20"/>
      <c r="N260" s="20"/>
      <c r="O260" s="20"/>
      <c r="P260" s="20"/>
      <c r="Q260" s="20"/>
      <c r="R260" s="20"/>
      <c r="S260" s="20"/>
      <c r="T260" s="20">
        <v>700000</v>
      </c>
      <c r="U260" s="20"/>
      <c r="V260" s="20">
        <v>300000</v>
      </c>
      <c r="W260" s="20">
        <v>340000</v>
      </c>
      <c r="X260" s="20"/>
      <c r="Y260" s="118">
        <f t="shared" si="30"/>
        <v>0</v>
      </c>
      <c r="Z260" s="24"/>
      <c r="AA260" s="118">
        <f t="shared" si="28"/>
        <v>0</v>
      </c>
      <c r="AB260" s="118"/>
      <c r="AC260" s="24"/>
      <c r="AD260" s="118">
        <f t="shared" si="29"/>
        <v>1340000</v>
      </c>
    </row>
    <row r="261" spans="1:30" ht="21">
      <c r="A261" s="169"/>
      <c r="B261" s="169"/>
      <c r="C261" s="169"/>
      <c r="D261" s="166"/>
      <c r="E261" s="26" t="s">
        <v>462</v>
      </c>
      <c r="F261" s="96">
        <v>2187</v>
      </c>
      <c r="G261" s="58" t="s">
        <v>201</v>
      </c>
      <c r="H261" s="20">
        <v>600000</v>
      </c>
      <c r="I261" s="58">
        <v>81</v>
      </c>
      <c r="J261" s="58">
        <v>3142</v>
      </c>
      <c r="K261" s="20">
        <v>112851.36</v>
      </c>
      <c r="L261" s="58">
        <v>100</v>
      </c>
      <c r="M261" s="20"/>
      <c r="N261" s="20"/>
      <c r="O261" s="20">
        <f>112851.36</f>
        <v>112851.36</v>
      </c>
      <c r="P261" s="20"/>
      <c r="Q261" s="20"/>
      <c r="R261" s="20"/>
      <c r="S261" s="20">
        <f>112851.36-112851.36</f>
        <v>0</v>
      </c>
      <c r="T261" s="20"/>
      <c r="U261" s="20"/>
      <c r="V261" s="20"/>
      <c r="W261" s="20"/>
      <c r="X261" s="20"/>
      <c r="Y261" s="118">
        <f t="shared" si="30"/>
        <v>0</v>
      </c>
      <c r="Z261" s="24">
        <f>110009.31+2574</f>
        <v>112583.31</v>
      </c>
      <c r="AA261" s="118">
        <f t="shared" si="28"/>
        <v>268.0500000000029</v>
      </c>
      <c r="AB261" s="118"/>
      <c r="AC261" s="24"/>
      <c r="AD261" s="118">
        <f t="shared" si="29"/>
        <v>268.0500000000029</v>
      </c>
    </row>
    <row r="262" spans="1:30" ht="21">
      <c r="A262" s="169"/>
      <c r="B262" s="169"/>
      <c r="C262" s="169"/>
      <c r="D262" s="166"/>
      <c r="E262" s="26" t="s">
        <v>463</v>
      </c>
      <c r="F262" s="96">
        <v>2188</v>
      </c>
      <c r="G262" s="58">
        <v>2020</v>
      </c>
      <c r="H262" s="20">
        <v>100000</v>
      </c>
      <c r="I262" s="58">
        <v>0</v>
      </c>
      <c r="J262" s="58">
        <v>3142</v>
      </c>
      <c r="K262" s="20">
        <v>100000</v>
      </c>
      <c r="L262" s="58">
        <v>100</v>
      </c>
      <c r="M262" s="20"/>
      <c r="N262" s="20"/>
      <c r="O262" s="20">
        <f>100000-82000</f>
        <v>18000</v>
      </c>
      <c r="P262" s="20"/>
      <c r="Q262" s="20"/>
      <c r="R262" s="20"/>
      <c r="S262" s="20">
        <f>71000-89000</f>
        <v>-18000</v>
      </c>
      <c r="T262" s="20"/>
      <c r="U262" s="20">
        <f>84000</f>
        <v>84000</v>
      </c>
      <c r="V262" s="20">
        <f>100000-100000+5000</f>
        <v>5000</v>
      </c>
      <c r="W262" s="20"/>
      <c r="X262" s="20">
        <f>11000</f>
        <v>11000</v>
      </c>
      <c r="Y262" s="118">
        <f t="shared" si="30"/>
        <v>0</v>
      </c>
      <c r="Z262" s="24"/>
      <c r="AA262" s="118">
        <f t="shared" si="28"/>
        <v>0</v>
      </c>
      <c r="AB262" s="118"/>
      <c r="AC262" s="24"/>
      <c r="AD262" s="118">
        <f t="shared" si="29"/>
        <v>100000</v>
      </c>
    </row>
    <row r="263" spans="1:30" ht="21">
      <c r="A263" s="169"/>
      <c r="B263" s="169"/>
      <c r="C263" s="169"/>
      <c r="D263" s="166"/>
      <c r="E263" s="19" t="s">
        <v>658</v>
      </c>
      <c r="F263" s="96">
        <v>2189</v>
      </c>
      <c r="G263" s="58">
        <v>2020</v>
      </c>
      <c r="H263" s="20">
        <v>1000000</v>
      </c>
      <c r="I263" s="58">
        <v>0</v>
      </c>
      <c r="J263" s="58">
        <v>3142</v>
      </c>
      <c r="K263" s="20">
        <v>1000000</v>
      </c>
      <c r="L263" s="58">
        <v>100</v>
      </c>
      <c r="M263" s="20"/>
      <c r="N263" s="20"/>
      <c r="O263" s="20">
        <f>200000-200000</f>
        <v>0</v>
      </c>
      <c r="P263" s="20"/>
      <c r="Q263" s="20"/>
      <c r="R263" s="20"/>
      <c r="S263" s="20"/>
      <c r="T263" s="20">
        <f>500000-200000</f>
        <v>300000</v>
      </c>
      <c r="U263" s="20"/>
      <c r="V263" s="20">
        <v>300000</v>
      </c>
      <c r="W263" s="20">
        <v>200000</v>
      </c>
      <c r="X263" s="20">
        <f>200000</f>
        <v>200000</v>
      </c>
      <c r="Y263" s="118">
        <f t="shared" si="30"/>
        <v>0</v>
      </c>
      <c r="Z263" s="24"/>
      <c r="AA263" s="118">
        <f t="shared" si="28"/>
        <v>0</v>
      </c>
      <c r="AB263" s="118"/>
      <c r="AC263" s="24"/>
      <c r="AD263" s="118">
        <f t="shared" si="29"/>
        <v>1000000</v>
      </c>
    </row>
    <row r="264" spans="1:30" ht="21">
      <c r="A264" s="169"/>
      <c r="B264" s="169"/>
      <c r="C264" s="169"/>
      <c r="D264" s="166"/>
      <c r="E264" s="19" t="s">
        <v>457</v>
      </c>
      <c r="F264" s="96">
        <v>2190</v>
      </c>
      <c r="G264" s="58">
        <v>2020</v>
      </c>
      <c r="H264" s="20">
        <v>1000000</v>
      </c>
      <c r="I264" s="58">
        <v>0</v>
      </c>
      <c r="J264" s="58">
        <v>3142</v>
      </c>
      <c r="K264" s="20">
        <v>1000000</v>
      </c>
      <c r="L264" s="58">
        <v>100</v>
      </c>
      <c r="M264" s="20"/>
      <c r="N264" s="20"/>
      <c r="O264" s="20"/>
      <c r="P264" s="20"/>
      <c r="Q264" s="20"/>
      <c r="R264" s="20"/>
      <c r="S264" s="20"/>
      <c r="T264" s="20">
        <v>400000</v>
      </c>
      <c r="U264" s="20"/>
      <c r="V264" s="20">
        <v>200000</v>
      </c>
      <c r="W264" s="20">
        <v>400000</v>
      </c>
      <c r="X264" s="20"/>
      <c r="Y264" s="118">
        <f t="shared" si="30"/>
        <v>0</v>
      </c>
      <c r="Z264" s="24"/>
      <c r="AA264" s="118">
        <f t="shared" si="28"/>
        <v>0</v>
      </c>
      <c r="AB264" s="118"/>
      <c r="AC264" s="24"/>
      <c r="AD264" s="118">
        <f t="shared" si="29"/>
        <v>1000000</v>
      </c>
    </row>
    <row r="265" spans="1:30" ht="21" hidden="1">
      <c r="A265" s="169"/>
      <c r="B265" s="169"/>
      <c r="C265" s="169"/>
      <c r="D265" s="166"/>
      <c r="E265" s="19" t="s">
        <v>811</v>
      </c>
      <c r="F265" s="96">
        <v>2575</v>
      </c>
      <c r="G265" s="58"/>
      <c r="H265" s="20"/>
      <c r="I265" s="58"/>
      <c r="J265" s="58">
        <v>3142</v>
      </c>
      <c r="K265" s="20">
        <f>1500000-1500000</f>
        <v>0</v>
      </c>
      <c r="L265" s="58"/>
      <c r="M265" s="20"/>
      <c r="N265" s="20"/>
      <c r="O265" s="20"/>
      <c r="P265" s="20"/>
      <c r="Q265" s="20"/>
      <c r="R265" s="20"/>
      <c r="S265" s="20">
        <f>25342-25342</f>
        <v>0</v>
      </c>
      <c r="T265" s="20">
        <f>399999-399999</f>
        <v>0</v>
      </c>
      <c r="U265" s="20">
        <f>350000-350000</f>
        <v>0</v>
      </c>
      <c r="V265" s="20">
        <f>224659-224659</f>
        <v>0</v>
      </c>
      <c r="W265" s="20">
        <f>500000-500000</f>
        <v>0</v>
      </c>
      <c r="X265" s="20"/>
      <c r="Y265" s="118">
        <f t="shared" si="30"/>
        <v>0</v>
      </c>
      <c r="Z265" s="24"/>
      <c r="AA265" s="118">
        <f t="shared" si="28"/>
        <v>0</v>
      </c>
      <c r="AB265" s="118"/>
      <c r="AC265" s="24"/>
      <c r="AD265" s="118">
        <f t="shared" si="29"/>
        <v>0</v>
      </c>
    </row>
    <row r="266" spans="1:30" ht="30.75">
      <c r="A266" s="169"/>
      <c r="B266" s="169"/>
      <c r="C266" s="169"/>
      <c r="D266" s="166"/>
      <c r="E266" s="29" t="s">
        <v>553</v>
      </c>
      <c r="F266" s="96">
        <v>2191</v>
      </c>
      <c r="G266" s="58" t="s">
        <v>201</v>
      </c>
      <c r="H266" s="20">
        <v>2000000</v>
      </c>
      <c r="I266" s="58">
        <v>47</v>
      </c>
      <c r="J266" s="58">
        <v>3142</v>
      </c>
      <c r="K266" s="20">
        <v>940070</v>
      </c>
      <c r="L266" s="58">
        <v>100</v>
      </c>
      <c r="M266" s="20"/>
      <c r="N266" s="20"/>
      <c r="O266" s="20"/>
      <c r="P266" s="20"/>
      <c r="Q266" s="20"/>
      <c r="R266" s="20"/>
      <c r="S266" s="20"/>
      <c r="T266" s="20"/>
      <c r="U266" s="20">
        <v>200000</v>
      </c>
      <c r="V266" s="20">
        <v>270070</v>
      </c>
      <c r="W266" s="20">
        <v>470000</v>
      </c>
      <c r="X266" s="20"/>
      <c r="Y266" s="118">
        <f t="shared" si="30"/>
        <v>0</v>
      </c>
      <c r="Z266" s="24"/>
      <c r="AA266" s="118">
        <f t="shared" si="28"/>
        <v>0</v>
      </c>
      <c r="AB266" s="118"/>
      <c r="AC266" s="24"/>
      <c r="AD266" s="118">
        <f t="shared" si="29"/>
        <v>940070</v>
      </c>
    </row>
    <row r="267" spans="1:30" ht="21">
      <c r="A267" s="169"/>
      <c r="B267" s="169"/>
      <c r="C267" s="169"/>
      <c r="D267" s="166"/>
      <c r="E267" s="26" t="s">
        <v>459</v>
      </c>
      <c r="F267" s="96">
        <v>2192</v>
      </c>
      <c r="G267" s="58" t="s">
        <v>201</v>
      </c>
      <c r="H267" s="20">
        <v>700000</v>
      </c>
      <c r="I267" s="58">
        <v>61</v>
      </c>
      <c r="J267" s="58">
        <v>3142</v>
      </c>
      <c r="K267" s="20">
        <v>268840</v>
      </c>
      <c r="L267" s="58">
        <v>100</v>
      </c>
      <c r="M267" s="20"/>
      <c r="N267" s="20"/>
      <c r="O267" s="20"/>
      <c r="P267" s="20"/>
      <c r="Q267" s="20"/>
      <c r="R267" s="20"/>
      <c r="S267" s="20">
        <f>130000-130000</f>
        <v>0</v>
      </c>
      <c r="T267" s="20"/>
      <c r="U267" s="20"/>
      <c r="V267" s="20">
        <f>138840+130000</f>
        <v>268840</v>
      </c>
      <c r="W267" s="20"/>
      <c r="X267" s="20"/>
      <c r="Y267" s="118">
        <f t="shared" si="30"/>
        <v>0</v>
      </c>
      <c r="Z267" s="24"/>
      <c r="AA267" s="118">
        <f t="shared" si="28"/>
        <v>0</v>
      </c>
      <c r="AB267" s="118"/>
      <c r="AC267" s="24">
        <v>-173400</v>
      </c>
      <c r="AD267" s="118">
        <f t="shared" si="29"/>
        <v>95440</v>
      </c>
    </row>
    <row r="268" spans="1:30" ht="21">
      <c r="A268" s="169"/>
      <c r="B268" s="169"/>
      <c r="C268" s="169"/>
      <c r="D268" s="166"/>
      <c r="E268" s="26" t="s">
        <v>460</v>
      </c>
      <c r="F268" s="96">
        <v>2193</v>
      </c>
      <c r="G268" s="58">
        <v>2020</v>
      </c>
      <c r="H268" s="20">
        <v>1292458</v>
      </c>
      <c r="I268" s="58">
        <v>0</v>
      </c>
      <c r="J268" s="58">
        <v>3142</v>
      </c>
      <c r="K268" s="20">
        <v>1292458</v>
      </c>
      <c r="L268" s="58">
        <v>100</v>
      </c>
      <c r="M268" s="20"/>
      <c r="N268" s="20"/>
      <c r="O268" s="20"/>
      <c r="P268" s="20"/>
      <c r="Q268" s="20">
        <f>650000-445000-205000</f>
        <v>0</v>
      </c>
      <c r="R268" s="20"/>
      <c r="S268" s="20"/>
      <c r="T268" s="20">
        <f>205000</f>
        <v>205000</v>
      </c>
      <c r="U268" s="20">
        <v>342458</v>
      </c>
      <c r="V268" s="20"/>
      <c r="W268" s="20">
        <v>300000</v>
      </c>
      <c r="X268" s="20">
        <f>445000</f>
        <v>445000</v>
      </c>
      <c r="Y268" s="118">
        <f t="shared" si="30"/>
        <v>0</v>
      </c>
      <c r="Z268" s="24"/>
      <c r="AA268" s="118">
        <f t="shared" si="28"/>
        <v>0</v>
      </c>
      <c r="AB268" s="118"/>
      <c r="AC268" s="24"/>
      <c r="AD268" s="118">
        <f t="shared" si="29"/>
        <v>1292458</v>
      </c>
    </row>
    <row r="269" spans="1:30" ht="46.5">
      <c r="A269" s="169"/>
      <c r="B269" s="169"/>
      <c r="C269" s="169"/>
      <c r="D269" s="166"/>
      <c r="E269" s="19" t="s">
        <v>638</v>
      </c>
      <c r="F269" s="96">
        <v>2194</v>
      </c>
      <c r="G269" s="58" t="s">
        <v>604</v>
      </c>
      <c r="H269" s="65">
        <v>9202313</v>
      </c>
      <c r="I269" s="58">
        <v>89.1</v>
      </c>
      <c r="J269" s="58">
        <v>3142</v>
      </c>
      <c r="K269" s="65">
        <v>1000000</v>
      </c>
      <c r="L269" s="58">
        <v>100</v>
      </c>
      <c r="M269" s="20"/>
      <c r="N269" s="20"/>
      <c r="O269" s="20"/>
      <c r="P269" s="20"/>
      <c r="Q269" s="20">
        <v>11036</v>
      </c>
      <c r="R269" s="20"/>
      <c r="S269" s="20">
        <v>250000</v>
      </c>
      <c r="T269" s="20"/>
      <c r="U269" s="20">
        <v>250000</v>
      </c>
      <c r="V269" s="20">
        <v>250000</v>
      </c>
      <c r="W269" s="20">
        <v>238964</v>
      </c>
      <c r="X269" s="20"/>
      <c r="Y269" s="118">
        <f t="shared" si="30"/>
        <v>0</v>
      </c>
      <c r="Z269" s="24"/>
      <c r="AA269" s="118">
        <f t="shared" si="28"/>
        <v>261036</v>
      </c>
      <c r="AB269" s="118"/>
      <c r="AC269" s="24"/>
      <c r="AD269" s="118">
        <f t="shared" si="29"/>
        <v>1000000</v>
      </c>
    </row>
    <row r="270" spans="1:30" ht="30.75">
      <c r="A270" s="170"/>
      <c r="B270" s="170"/>
      <c r="C270" s="170"/>
      <c r="D270" s="167"/>
      <c r="E270" s="19" t="s">
        <v>700</v>
      </c>
      <c r="F270" s="96">
        <v>2195</v>
      </c>
      <c r="G270" s="58">
        <v>2020</v>
      </c>
      <c r="H270" s="65">
        <v>360000</v>
      </c>
      <c r="I270" s="58">
        <v>0</v>
      </c>
      <c r="J270" s="58">
        <v>3142</v>
      </c>
      <c r="K270" s="65">
        <v>360000</v>
      </c>
      <c r="L270" s="58">
        <v>100</v>
      </c>
      <c r="M270" s="20"/>
      <c r="N270" s="20"/>
      <c r="O270" s="20"/>
      <c r="P270" s="20"/>
      <c r="Q270" s="20"/>
      <c r="R270" s="20"/>
      <c r="S270" s="20">
        <f>360000-360000</f>
        <v>0</v>
      </c>
      <c r="T270" s="20"/>
      <c r="U270" s="20"/>
      <c r="V270" s="20">
        <f>360000-360000+360000</f>
        <v>360000</v>
      </c>
      <c r="W270" s="20"/>
      <c r="X270" s="20"/>
      <c r="Y270" s="118">
        <f t="shared" si="30"/>
        <v>0</v>
      </c>
      <c r="Z270" s="24"/>
      <c r="AA270" s="118">
        <f t="shared" si="28"/>
        <v>0</v>
      </c>
      <c r="AB270" s="118"/>
      <c r="AC270" s="24"/>
      <c r="AD270" s="118">
        <f t="shared" si="29"/>
        <v>360000</v>
      </c>
    </row>
    <row r="271" spans="1:30" ht="15" customHeight="1">
      <c r="A271" s="168" t="s">
        <v>68</v>
      </c>
      <c r="B271" s="168" t="s">
        <v>69</v>
      </c>
      <c r="C271" s="168" t="s">
        <v>66</v>
      </c>
      <c r="D271" s="165" t="s">
        <v>70</v>
      </c>
      <c r="E271" s="26"/>
      <c r="F271" s="97"/>
      <c r="G271" s="20"/>
      <c r="H271" s="24"/>
      <c r="I271" s="33"/>
      <c r="J271" s="58"/>
      <c r="K271" s="23">
        <f>SUM(K272:K280)</f>
        <v>3977878</v>
      </c>
      <c r="L271" s="23">
        <f aca="true" t="shared" si="31" ref="L271:Z271">SUM(L272:L280)</f>
        <v>800</v>
      </c>
      <c r="M271" s="23">
        <f t="shared" si="31"/>
        <v>0</v>
      </c>
      <c r="N271" s="23">
        <f t="shared" si="31"/>
        <v>84627.35</v>
      </c>
      <c r="O271" s="23">
        <f t="shared" si="31"/>
        <v>193250.65</v>
      </c>
      <c r="P271" s="23">
        <f t="shared" si="31"/>
        <v>1600000</v>
      </c>
      <c r="Q271" s="23">
        <f t="shared" si="31"/>
        <v>0</v>
      </c>
      <c r="R271" s="23">
        <f t="shared" si="31"/>
        <v>0</v>
      </c>
      <c r="S271" s="23">
        <f t="shared" si="31"/>
        <v>0</v>
      </c>
      <c r="T271" s="23">
        <f t="shared" si="31"/>
        <v>818945</v>
      </c>
      <c r="U271" s="23">
        <f t="shared" si="31"/>
        <v>0</v>
      </c>
      <c r="V271" s="23">
        <f t="shared" si="31"/>
        <v>200000</v>
      </c>
      <c r="W271" s="23">
        <f t="shared" si="31"/>
        <v>500000</v>
      </c>
      <c r="X271" s="23">
        <f t="shared" si="31"/>
        <v>581055</v>
      </c>
      <c r="Y271" s="118">
        <f t="shared" si="30"/>
        <v>0</v>
      </c>
      <c r="Z271" s="23">
        <f t="shared" si="31"/>
        <v>1575569</v>
      </c>
      <c r="AA271" s="118">
        <f t="shared" si="28"/>
        <v>302309</v>
      </c>
      <c r="AB271" s="118"/>
      <c r="AC271" s="24"/>
      <c r="AD271" s="118">
        <f t="shared" si="29"/>
        <v>2402309</v>
      </c>
    </row>
    <row r="272" spans="1:30" ht="30.75">
      <c r="A272" s="169"/>
      <c r="B272" s="169"/>
      <c r="C272" s="169"/>
      <c r="D272" s="166"/>
      <c r="E272" s="19" t="s">
        <v>559</v>
      </c>
      <c r="F272" s="96">
        <v>2196</v>
      </c>
      <c r="G272" s="58">
        <v>2020</v>
      </c>
      <c r="H272" s="20">
        <v>300000</v>
      </c>
      <c r="I272" s="58">
        <v>0</v>
      </c>
      <c r="J272" s="58">
        <v>3132</v>
      </c>
      <c r="K272" s="20">
        <f>300000+200000</f>
        <v>500000</v>
      </c>
      <c r="L272" s="58">
        <v>100</v>
      </c>
      <c r="M272" s="20"/>
      <c r="N272" s="20"/>
      <c r="O272" s="20"/>
      <c r="P272" s="20"/>
      <c r="Q272" s="20"/>
      <c r="R272" s="20"/>
      <c r="S272" s="20">
        <f>150000-150000</f>
        <v>0</v>
      </c>
      <c r="T272" s="20"/>
      <c r="U272" s="20"/>
      <c r="V272" s="20">
        <f>150000-150000+100000</f>
        <v>100000</v>
      </c>
      <c r="W272" s="20">
        <f>400000</f>
        <v>400000</v>
      </c>
      <c r="X272" s="20"/>
      <c r="Y272" s="118">
        <f t="shared" si="30"/>
        <v>0</v>
      </c>
      <c r="Z272" s="24"/>
      <c r="AA272" s="118">
        <f t="shared" si="28"/>
        <v>0</v>
      </c>
      <c r="AB272" s="118"/>
      <c r="AC272" s="24">
        <v>-500000</v>
      </c>
      <c r="AD272" s="118">
        <f t="shared" si="29"/>
        <v>0</v>
      </c>
    </row>
    <row r="273" spans="1:30" ht="30.75" hidden="1">
      <c r="A273" s="169"/>
      <c r="B273" s="169"/>
      <c r="C273" s="169"/>
      <c r="D273" s="166"/>
      <c r="E273" s="26" t="s">
        <v>560</v>
      </c>
      <c r="F273" s="97">
        <v>2197</v>
      </c>
      <c r="G273" s="58" t="s">
        <v>201</v>
      </c>
      <c r="H273" s="20">
        <v>300000</v>
      </c>
      <c r="I273" s="58">
        <v>82</v>
      </c>
      <c r="J273" s="58"/>
      <c r="K273" s="20">
        <f>54196-54196</f>
        <v>0</v>
      </c>
      <c r="L273" s="58">
        <v>100</v>
      </c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>
        <f>54196-54196</f>
        <v>0</v>
      </c>
      <c r="X273" s="20"/>
      <c r="Y273" s="118">
        <f t="shared" si="30"/>
        <v>0</v>
      </c>
      <c r="Z273" s="24"/>
      <c r="AA273" s="118">
        <f t="shared" si="28"/>
        <v>0</v>
      </c>
      <c r="AB273" s="118"/>
      <c r="AC273" s="24"/>
      <c r="AD273" s="118">
        <f t="shared" si="29"/>
        <v>0</v>
      </c>
    </row>
    <row r="274" spans="1:30" ht="30.75" hidden="1">
      <c r="A274" s="169"/>
      <c r="B274" s="169"/>
      <c r="C274" s="169"/>
      <c r="D274" s="166"/>
      <c r="E274" s="26" t="s">
        <v>561</v>
      </c>
      <c r="F274" s="96">
        <v>2198</v>
      </c>
      <c r="G274" s="58" t="s">
        <v>201</v>
      </c>
      <c r="H274" s="20">
        <v>1190000</v>
      </c>
      <c r="I274" s="58">
        <v>61</v>
      </c>
      <c r="J274" s="58"/>
      <c r="K274" s="20">
        <f>459178.4-459178.4</f>
        <v>0</v>
      </c>
      <c r="L274" s="58">
        <v>100</v>
      </c>
      <c r="M274" s="20"/>
      <c r="N274" s="20"/>
      <c r="O274" s="20"/>
      <c r="P274" s="20"/>
      <c r="Q274" s="20"/>
      <c r="R274" s="20"/>
      <c r="S274" s="20">
        <f>229178.4-229178.4</f>
        <v>0</v>
      </c>
      <c r="T274" s="20"/>
      <c r="U274" s="20"/>
      <c r="V274" s="20">
        <f>69891.07-69891.07</f>
        <v>0</v>
      </c>
      <c r="W274" s="20">
        <f>160108.93-160108.93</f>
        <v>0</v>
      </c>
      <c r="X274" s="20"/>
      <c r="Y274" s="118">
        <f t="shared" si="30"/>
        <v>0</v>
      </c>
      <c r="Z274" s="24"/>
      <c r="AA274" s="118">
        <f t="shared" si="28"/>
        <v>0</v>
      </c>
      <c r="AB274" s="118"/>
      <c r="AC274" s="24"/>
      <c r="AD274" s="118">
        <f t="shared" si="29"/>
        <v>0</v>
      </c>
    </row>
    <row r="275" spans="1:30" ht="30.75" hidden="1">
      <c r="A275" s="169"/>
      <c r="B275" s="169"/>
      <c r="C275" s="169"/>
      <c r="D275" s="166"/>
      <c r="E275" s="26" t="s">
        <v>562</v>
      </c>
      <c r="F275" s="97">
        <v>2199</v>
      </c>
      <c r="G275" s="58" t="s">
        <v>201</v>
      </c>
      <c r="H275" s="20">
        <v>300000</v>
      </c>
      <c r="I275" s="58">
        <v>54</v>
      </c>
      <c r="J275" s="58"/>
      <c r="K275" s="20">
        <f>137648.6-137648.6</f>
        <v>0</v>
      </c>
      <c r="L275" s="58">
        <v>100</v>
      </c>
      <c r="M275" s="20"/>
      <c r="N275" s="20"/>
      <c r="O275" s="20"/>
      <c r="P275" s="20"/>
      <c r="Q275" s="20"/>
      <c r="R275" s="20"/>
      <c r="S275" s="20"/>
      <c r="T275" s="20">
        <f>67648.6-67648.6</f>
        <v>0</v>
      </c>
      <c r="U275" s="20"/>
      <c r="V275" s="20"/>
      <c r="W275" s="20">
        <f>70000-70000</f>
        <v>0</v>
      </c>
      <c r="X275" s="20"/>
      <c r="Y275" s="118">
        <f t="shared" si="30"/>
        <v>0</v>
      </c>
      <c r="Z275" s="24"/>
      <c r="AA275" s="118">
        <f aca="true" t="shared" si="32" ref="AA275:AA338">M275+N275+O275+P275+Q275+R275+S275-Z275</f>
        <v>0</v>
      </c>
      <c r="AB275" s="118"/>
      <c r="AC275" s="24"/>
      <c r="AD275" s="118">
        <f t="shared" si="29"/>
        <v>0</v>
      </c>
    </row>
    <row r="276" spans="1:30" ht="30.75" hidden="1">
      <c r="A276" s="169"/>
      <c r="B276" s="169"/>
      <c r="C276" s="169"/>
      <c r="D276" s="166"/>
      <c r="E276" s="26" t="s">
        <v>563</v>
      </c>
      <c r="F276" s="96">
        <v>2200</v>
      </c>
      <c r="G276" s="58">
        <v>2020</v>
      </c>
      <c r="H276" s="20">
        <v>990000</v>
      </c>
      <c r="I276" s="58">
        <v>0</v>
      </c>
      <c r="J276" s="58"/>
      <c r="K276" s="20">
        <f>990000-990000</f>
        <v>0</v>
      </c>
      <c r="L276" s="58">
        <v>100</v>
      </c>
      <c r="M276" s="20"/>
      <c r="N276" s="20"/>
      <c r="O276" s="20"/>
      <c r="P276" s="20"/>
      <c r="Q276" s="20"/>
      <c r="R276" s="20"/>
      <c r="S276" s="20"/>
      <c r="T276" s="20"/>
      <c r="U276" s="20"/>
      <c r="V276" s="20">
        <f>500000-500000</f>
        <v>0</v>
      </c>
      <c r="W276" s="20">
        <f>490000-490000</f>
        <v>0</v>
      </c>
      <c r="X276" s="20"/>
      <c r="Y276" s="118">
        <f t="shared" si="30"/>
        <v>0</v>
      </c>
      <c r="Z276" s="24"/>
      <c r="AA276" s="118">
        <f t="shared" si="32"/>
        <v>0</v>
      </c>
      <c r="AB276" s="118"/>
      <c r="AC276" s="24"/>
      <c r="AD276" s="118">
        <f aca="true" t="shared" si="33" ref="AD276:AD341">K276-Z276+AC276-AB276</f>
        <v>0</v>
      </c>
    </row>
    <row r="277" spans="1:30" ht="21">
      <c r="A277" s="169"/>
      <c r="B277" s="169"/>
      <c r="C277" s="169"/>
      <c r="D277" s="166"/>
      <c r="E277" s="19" t="s">
        <v>564</v>
      </c>
      <c r="F277" s="97">
        <v>2201</v>
      </c>
      <c r="G277" s="58">
        <v>2020</v>
      </c>
      <c r="H277" s="20">
        <v>3200000</v>
      </c>
      <c r="I277" s="58">
        <v>0</v>
      </c>
      <c r="J277" s="58">
        <v>3132</v>
      </c>
      <c r="K277" s="20">
        <v>3200000</v>
      </c>
      <c r="L277" s="58">
        <v>100</v>
      </c>
      <c r="M277" s="20"/>
      <c r="N277" s="20"/>
      <c r="O277" s="20"/>
      <c r="P277" s="20">
        <v>1600000</v>
      </c>
      <c r="Q277" s="20"/>
      <c r="R277" s="20"/>
      <c r="S277" s="20"/>
      <c r="T277" s="20">
        <v>818945</v>
      </c>
      <c r="U277" s="20"/>
      <c r="V277" s="20">
        <v>100000</v>
      </c>
      <c r="W277" s="20">
        <v>100000</v>
      </c>
      <c r="X277" s="20">
        <v>581055</v>
      </c>
      <c r="Y277" s="118">
        <f t="shared" si="30"/>
        <v>0</v>
      </c>
      <c r="Z277" s="24">
        <f>1327870+54978</f>
        <v>1382848</v>
      </c>
      <c r="AA277" s="118">
        <f t="shared" si="32"/>
        <v>217152</v>
      </c>
      <c r="AB277" s="118"/>
      <c r="AC277" s="24"/>
      <c r="AD277" s="118">
        <f t="shared" si="33"/>
        <v>1817152</v>
      </c>
    </row>
    <row r="278" spans="1:30" ht="21">
      <c r="A278" s="169"/>
      <c r="B278" s="169"/>
      <c r="C278" s="169"/>
      <c r="D278" s="166"/>
      <c r="E278" s="19" t="s">
        <v>564</v>
      </c>
      <c r="F278" s="96">
        <v>2202</v>
      </c>
      <c r="G278" s="58">
        <v>2020</v>
      </c>
      <c r="H278" s="20">
        <v>85157</v>
      </c>
      <c r="I278" s="58">
        <v>0</v>
      </c>
      <c r="J278" s="58">
        <v>3132</v>
      </c>
      <c r="K278" s="20">
        <v>85157</v>
      </c>
      <c r="L278" s="58">
        <v>100</v>
      </c>
      <c r="M278" s="20"/>
      <c r="N278" s="20">
        <v>84627.35</v>
      </c>
      <c r="O278" s="20">
        <v>529.65</v>
      </c>
      <c r="P278" s="20"/>
      <c r="Q278" s="20"/>
      <c r="R278" s="20"/>
      <c r="S278" s="20"/>
      <c r="T278" s="20"/>
      <c r="U278" s="20"/>
      <c r="V278" s="20"/>
      <c r="W278" s="20"/>
      <c r="X278" s="20"/>
      <c r="Y278" s="118">
        <f t="shared" si="30"/>
        <v>-5.7980287238024175E-12</v>
      </c>
      <c r="Z278" s="24"/>
      <c r="AA278" s="118">
        <f t="shared" si="32"/>
        <v>85157</v>
      </c>
      <c r="AB278" s="118"/>
      <c r="AC278" s="24"/>
      <c r="AD278" s="118">
        <f t="shared" si="33"/>
        <v>85157</v>
      </c>
    </row>
    <row r="279" spans="1:30" ht="21">
      <c r="A279" s="169"/>
      <c r="B279" s="169"/>
      <c r="C279" s="169"/>
      <c r="D279" s="166"/>
      <c r="E279" s="19" t="s">
        <v>817</v>
      </c>
      <c r="F279" s="96">
        <v>2581</v>
      </c>
      <c r="G279" s="58"/>
      <c r="H279" s="20"/>
      <c r="I279" s="58"/>
      <c r="J279" s="58">
        <v>3142</v>
      </c>
      <c r="K279" s="20">
        <f>192721</f>
        <v>192721</v>
      </c>
      <c r="L279" s="58"/>
      <c r="M279" s="20"/>
      <c r="N279" s="20"/>
      <c r="O279" s="20">
        <f>192721</f>
        <v>192721</v>
      </c>
      <c r="P279" s="20"/>
      <c r="Q279" s="20"/>
      <c r="R279" s="20"/>
      <c r="S279" s="20"/>
      <c r="T279" s="20"/>
      <c r="U279" s="20"/>
      <c r="V279" s="20"/>
      <c r="W279" s="20"/>
      <c r="X279" s="20">
        <f>192721-192721</f>
        <v>0</v>
      </c>
      <c r="Y279" s="118">
        <f t="shared" si="30"/>
        <v>0</v>
      </c>
      <c r="Z279" s="24">
        <f>192721</f>
        <v>192721</v>
      </c>
      <c r="AA279" s="118">
        <f t="shared" si="32"/>
        <v>0</v>
      </c>
      <c r="AB279" s="118"/>
      <c r="AC279" s="24"/>
      <c r="AD279" s="118">
        <f t="shared" si="33"/>
        <v>0</v>
      </c>
    </row>
    <row r="280" spans="1:30" ht="21" hidden="1">
      <c r="A280" s="170"/>
      <c r="B280" s="170"/>
      <c r="C280" s="170"/>
      <c r="D280" s="167"/>
      <c r="E280" s="19" t="s">
        <v>558</v>
      </c>
      <c r="F280" s="97">
        <v>2203</v>
      </c>
      <c r="G280" s="58">
        <v>2020</v>
      </c>
      <c r="H280" s="20">
        <v>1100000</v>
      </c>
      <c r="I280" s="58">
        <v>0</v>
      </c>
      <c r="J280" s="58"/>
      <c r="K280" s="20">
        <f>1100000-1100000</f>
        <v>0</v>
      </c>
      <c r="L280" s="58">
        <v>100</v>
      </c>
      <c r="M280" s="20"/>
      <c r="N280" s="20"/>
      <c r="O280" s="20"/>
      <c r="P280" s="20"/>
      <c r="Q280" s="20"/>
      <c r="R280" s="20"/>
      <c r="S280" s="20"/>
      <c r="T280" s="20"/>
      <c r="U280" s="20"/>
      <c r="V280" s="20">
        <f>600000-600000</f>
        <v>0</v>
      </c>
      <c r="W280" s="20">
        <f>300000-300000</f>
        <v>0</v>
      </c>
      <c r="X280" s="20">
        <f>200000-200000</f>
        <v>0</v>
      </c>
      <c r="Y280" s="118">
        <f t="shared" si="30"/>
        <v>0</v>
      </c>
      <c r="Z280" s="24"/>
      <c r="AA280" s="118">
        <f t="shared" si="32"/>
        <v>0</v>
      </c>
      <c r="AB280" s="118"/>
      <c r="AC280" s="24"/>
      <c r="AD280" s="118">
        <f t="shared" si="33"/>
        <v>0</v>
      </c>
    </row>
    <row r="281" spans="1:30" ht="20.25">
      <c r="A281" s="171" t="s">
        <v>71</v>
      </c>
      <c r="B281" s="171" t="s">
        <v>72</v>
      </c>
      <c r="C281" s="171" t="s">
        <v>66</v>
      </c>
      <c r="D281" s="172" t="s">
        <v>73</v>
      </c>
      <c r="E281" s="40"/>
      <c r="F281" s="98"/>
      <c r="G281" s="20"/>
      <c r="H281" s="24"/>
      <c r="I281" s="33"/>
      <c r="J281" s="58"/>
      <c r="K281" s="23">
        <f>SUM(K282:K285)</f>
        <v>1203955.56</v>
      </c>
      <c r="L281" s="23">
        <f aca="true" t="shared" si="34" ref="L281:X281">SUM(L282:L285)</f>
        <v>300</v>
      </c>
      <c r="M281" s="23">
        <f t="shared" si="34"/>
        <v>0</v>
      </c>
      <c r="N281" s="23">
        <f t="shared" si="34"/>
        <v>123158.78</v>
      </c>
      <c r="O281" s="23">
        <f t="shared" si="34"/>
        <v>35000</v>
      </c>
      <c r="P281" s="23">
        <f t="shared" si="34"/>
        <v>955500</v>
      </c>
      <c r="Q281" s="23">
        <f t="shared" si="34"/>
        <v>0</v>
      </c>
      <c r="R281" s="23">
        <f t="shared" si="34"/>
        <v>0</v>
      </c>
      <c r="S281" s="23">
        <f t="shared" si="34"/>
        <v>0</v>
      </c>
      <c r="T281" s="23">
        <f t="shared" si="34"/>
        <v>0</v>
      </c>
      <c r="U281" s="23">
        <f t="shared" si="34"/>
        <v>0</v>
      </c>
      <c r="V281" s="23">
        <f t="shared" si="34"/>
        <v>90296.78</v>
      </c>
      <c r="W281" s="23">
        <f t="shared" si="34"/>
        <v>0</v>
      </c>
      <c r="X281" s="23">
        <f t="shared" si="34"/>
        <v>0</v>
      </c>
      <c r="Y281" s="118">
        <f t="shared" si="30"/>
        <v>2.9103830456733704E-11</v>
      </c>
      <c r="Z281" s="23">
        <f>SUM(Z282:Z285)</f>
        <v>181667</v>
      </c>
      <c r="AA281" s="118">
        <f t="shared" si="32"/>
        <v>931991.78</v>
      </c>
      <c r="AB281" s="118"/>
      <c r="AC281" s="24"/>
      <c r="AD281" s="118">
        <f t="shared" si="33"/>
        <v>1022288.56</v>
      </c>
    </row>
    <row r="282" spans="1:30" ht="30.75">
      <c r="A282" s="171"/>
      <c r="B282" s="171"/>
      <c r="C282" s="171"/>
      <c r="D282" s="172"/>
      <c r="E282" s="26" t="s">
        <v>567</v>
      </c>
      <c r="F282" s="97">
        <v>2204</v>
      </c>
      <c r="G282" s="58" t="s">
        <v>201</v>
      </c>
      <c r="H282" s="20">
        <v>370000</v>
      </c>
      <c r="I282" s="58">
        <v>43</v>
      </c>
      <c r="J282" s="58">
        <v>3132</v>
      </c>
      <c r="K282" s="20">
        <v>210296.78</v>
      </c>
      <c r="L282" s="58">
        <v>100</v>
      </c>
      <c r="M282" s="20"/>
      <c r="N282" s="20">
        <v>120000</v>
      </c>
      <c r="O282" s="20"/>
      <c r="P282" s="20">
        <f>30000</f>
        <v>30000</v>
      </c>
      <c r="Q282" s="20"/>
      <c r="R282" s="20"/>
      <c r="S282" s="20"/>
      <c r="T282" s="20"/>
      <c r="U282" s="20"/>
      <c r="V282" s="20">
        <f>90296.78-30000</f>
        <v>60296.78</v>
      </c>
      <c r="W282" s="20"/>
      <c r="X282" s="20"/>
      <c r="Y282" s="118">
        <f t="shared" si="30"/>
        <v>0</v>
      </c>
      <c r="Z282" s="20">
        <v>147647</v>
      </c>
      <c r="AA282" s="118">
        <f t="shared" si="32"/>
        <v>2353</v>
      </c>
      <c r="AB282" s="118"/>
      <c r="AC282" s="24"/>
      <c r="AD282" s="118">
        <f t="shared" si="33"/>
        <v>62649.78</v>
      </c>
    </row>
    <row r="283" spans="1:30" ht="46.5">
      <c r="A283" s="171"/>
      <c r="B283" s="171"/>
      <c r="C283" s="171"/>
      <c r="D283" s="172"/>
      <c r="E283" s="26" t="s">
        <v>818</v>
      </c>
      <c r="F283" s="97">
        <v>2582</v>
      </c>
      <c r="G283" s="58"/>
      <c r="H283" s="20"/>
      <c r="I283" s="58"/>
      <c r="J283" s="58">
        <v>3132</v>
      </c>
      <c r="K283" s="20">
        <f>35000</f>
        <v>35000</v>
      </c>
      <c r="L283" s="58"/>
      <c r="M283" s="20"/>
      <c r="N283" s="20"/>
      <c r="O283" s="20">
        <f>35000</f>
        <v>35000</v>
      </c>
      <c r="P283" s="20"/>
      <c r="Q283" s="20"/>
      <c r="R283" s="20"/>
      <c r="S283" s="20"/>
      <c r="T283" s="20"/>
      <c r="U283" s="20"/>
      <c r="V283" s="20">
        <f>35000-35000</f>
        <v>0</v>
      </c>
      <c r="W283" s="20"/>
      <c r="X283" s="20"/>
      <c r="Y283" s="118">
        <f t="shared" si="30"/>
        <v>0</v>
      </c>
      <c r="Z283" s="20">
        <f>34020</f>
        <v>34020</v>
      </c>
      <c r="AA283" s="118">
        <f t="shared" si="32"/>
        <v>980</v>
      </c>
      <c r="AB283" s="118"/>
      <c r="AC283" s="24"/>
      <c r="AD283" s="118">
        <f t="shared" si="33"/>
        <v>980</v>
      </c>
    </row>
    <row r="284" spans="1:30" ht="30.75">
      <c r="A284" s="171"/>
      <c r="B284" s="171"/>
      <c r="C284" s="171"/>
      <c r="D284" s="172"/>
      <c r="E284" s="26" t="s">
        <v>565</v>
      </c>
      <c r="F284" s="97">
        <v>2205</v>
      </c>
      <c r="G284" s="58" t="s">
        <v>201</v>
      </c>
      <c r="H284" s="20">
        <v>1490000</v>
      </c>
      <c r="I284" s="58">
        <v>99</v>
      </c>
      <c r="J284" s="58">
        <v>3142</v>
      </c>
      <c r="K284" s="20">
        <v>3158.78</v>
      </c>
      <c r="L284" s="58">
        <v>100</v>
      </c>
      <c r="M284" s="20"/>
      <c r="N284" s="20">
        <v>3158.78</v>
      </c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118">
        <f t="shared" si="30"/>
        <v>0</v>
      </c>
      <c r="Z284" s="20"/>
      <c r="AA284" s="118">
        <f t="shared" si="32"/>
        <v>3158.78</v>
      </c>
      <c r="AB284" s="118"/>
      <c r="AC284" s="24"/>
      <c r="AD284" s="118">
        <f t="shared" si="33"/>
        <v>3158.78</v>
      </c>
    </row>
    <row r="285" spans="1:30" ht="30.75">
      <c r="A285" s="171"/>
      <c r="B285" s="171"/>
      <c r="C285" s="171"/>
      <c r="D285" s="172"/>
      <c r="E285" s="26" t="s">
        <v>566</v>
      </c>
      <c r="F285" s="97">
        <v>2206</v>
      </c>
      <c r="G285" s="58" t="s">
        <v>201</v>
      </c>
      <c r="H285" s="20">
        <v>1839500</v>
      </c>
      <c r="I285" s="58">
        <v>60</v>
      </c>
      <c r="J285" s="58">
        <v>3142</v>
      </c>
      <c r="K285" s="20">
        <v>955500</v>
      </c>
      <c r="L285" s="58">
        <v>100</v>
      </c>
      <c r="M285" s="20"/>
      <c r="N285" s="20"/>
      <c r="O285" s="20"/>
      <c r="P285" s="20">
        <f>955500-30000</f>
        <v>925500</v>
      </c>
      <c r="Q285" s="20"/>
      <c r="R285" s="20"/>
      <c r="S285" s="20"/>
      <c r="T285" s="20"/>
      <c r="U285" s="20"/>
      <c r="V285" s="20">
        <f>30000</f>
        <v>30000</v>
      </c>
      <c r="W285" s="20"/>
      <c r="X285" s="20"/>
      <c r="Y285" s="118">
        <f t="shared" si="30"/>
        <v>0</v>
      </c>
      <c r="Z285" s="20"/>
      <c r="AA285" s="118">
        <f t="shared" si="32"/>
        <v>925500</v>
      </c>
      <c r="AB285" s="118"/>
      <c r="AC285" s="24"/>
      <c r="AD285" s="118">
        <f t="shared" si="33"/>
        <v>955500</v>
      </c>
    </row>
    <row r="286" spans="1:30" ht="21">
      <c r="A286" s="168" t="s">
        <v>884</v>
      </c>
      <c r="B286" s="168" t="s">
        <v>885</v>
      </c>
      <c r="C286" s="168" t="s">
        <v>76</v>
      </c>
      <c r="D286" s="165" t="s">
        <v>886</v>
      </c>
      <c r="E286" s="26"/>
      <c r="F286" s="97"/>
      <c r="G286" s="58"/>
      <c r="H286" s="20"/>
      <c r="I286" s="58"/>
      <c r="J286" s="58"/>
      <c r="K286" s="23">
        <f>K287</f>
        <v>2400000</v>
      </c>
      <c r="L286" s="23">
        <f aca="true" t="shared" si="35" ref="L286:X286">L287</f>
        <v>0</v>
      </c>
      <c r="M286" s="23">
        <f t="shared" si="35"/>
        <v>0</v>
      </c>
      <c r="N286" s="23">
        <f t="shared" si="35"/>
        <v>0</v>
      </c>
      <c r="O286" s="23">
        <f t="shared" si="35"/>
        <v>0</v>
      </c>
      <c r="P286" s="23">
        <f t="shared" si="35"/>
        <v>0</v>
      </c>
      <c r="Q286" s="23">
        <f t="shared" si="35"/>
        <v>0</v>
      </c>
      <c r="R286" s="23">
        <f t="shared" si="35"/>
        <v>0</v>
      </c>
      <c r="S286" s="23">
        <f t="shared" si="35"/>
        <v>0</v>
      </c>
      <c r="T286" s="23">
        <f t="shared" si="35"/>
        <v>0</v>
      </c>
      <c r="U286" s="23">
        <f t="shared" si="35"/>
        <v>0</v>
      </c>
      <c r="V286" s="23">
        <f t="shared" si="35"/>
        <v>0</v>
      </c>
      <c r="W286" s="23">
        <f t="shared" si="35"/>
        <v>0</v>
      </c>
      <c r="X286" s="23">
        <f t="shared" si="35"/>
        <v>2400000</v>
      </c>
      <c r="Y286" s="23">
        <f>Y287</f>
        <v>0</v>
      </c>
      <c r="Z286" s="23">
        <f>Z287</f>
        <v>0</v>
      </c>
      <c r="AA286" s="118">
        <f t="shared" si="32"/>
        <v>0</v>
      </c>
      <c r="AB286" s="118"/>
      <c r="AC286" s="24"/>
      <c r="AD286" s="118">
        <f t="shared" si="33"/>
        <v>2400000</v>
      </c>
    </row>
    <row r="287" spans="1:30" ht="78">
      <c r="A287" s="170"/>
      <c r="B287" s="170"/>
      <c r="C287" s="170"/>
      <c r="D287" s="167"/>
      <c r="E287" s="26" t="s">
        <v>887</v>
      </c>
      <c r="F287" s="97">
        <v>2612</v>
      </c>
      <c r="G287" s="58"/>
      <c r="H287" s="20"/>
      <c r="I287" s="58"/>
      <c r="J287" s="58">
        <v>3122</v>
      </c>
      <c r="K287" s="20">
        <v>2400000</v>
      </c>
      <c r="L287" s="58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>
        <v>2400000</v>
      </c>
      <c r="Y287" s="118">
        <f>K287-M287-N287-O287-P287-Q287-R287-S287-T287-U287-V287-W287-X287</f>
        <v>0</v>
      </c>
      <c r="Z287" s="20"/>
      <c r="AA287" s="118">
        <f t="shared" si="32"/>
        <v>0</v>
      </c>
      <c r="AB287" s="118"/>
      <c r="AC287" s="24"/>
      <c r="AD287" s="118">
        <f t="shared" si="33"/>
        <v>2400000</v>
      </c>
    </row>
    <row r="288" spans="1:30" ht="21">
      <c r="A288" s="171" t="s">
        <v>74</v>
      </c>
      <c r="B288" s="171" t="s">
        <v>75</v>
      </c>
      <c r="C288" s="171" t="s">
        <v>76</v>
      </c>
      <c r="D288" s="172" t="s">
        <v>77</v>
      </c>
      <c r="E288" s="26"/>
      <c r="F288" s="97"/>
      <c r="G288" s="20"/>
      <c r="H288" s="24"/>
      <c r="I288" s="33"/>
      <c r="J288" s="58"/>
      <c r="K288" s="23">
        <f>SUM(K289:K293)</f>
        <v>595378.39</v>
      </c>
      <c r="L288" s="23">
        <f aca="true" t="shared" si="36" ref="L288:X288">SUM(L289:L293)</f>
        <v>400</v>
      </c>
      <c r="M288" s="23">
        <f t="shared" si="36"/>
        <v>0</v>
      </c>
      <c r="N288" s="23">
        <f t="shared" si="36"/>
        <v>5214.919999999984</v>
      </c>
      <c r="O288" s="23">
        <f t="shared" si="36"/>
        <v>190128.32</v>
      </c>
      <c r="P288" s="23">
        <f t="shared" si="36"/>
        <v>0</v>
      </c>
      <c r="Q288" s="23">
        <f t="shared" si="36"/>
        <v>0</v>
      </c>
      <c r="R288" s="23">
        <f t="shared" si="36"/>
        <v>0</v>
      </c>
      <c r="S288" s="23">
        <f t="shared" si="36"/>
        <v>360000</v>
      </c>
      <c r="T288" s="23">
        <f t="shared" si="36"/>
        <v>0</v>
      </c>
      <c r="U288" s="23">
        <f t="shared" si="36"/>
        <v>0</v>
      </c>
      <c r="V288" s="23">
        <f t="shared" si="36"/>
        <v>40035.15000000002</v>
      </c>
      <c r="W288" s="23">
        <f t="shared" si="36"/>
        <v>0</v>
      </c>
      <c r="X288" s="23">
        <f t="shared" si="36"/>
        <v>0</v>
      </c>
      <c r="Y288" s="118">
        <f aca="true" t="shared" si="37" ref="Y288:Y358">K288-M288-N288-O288-P288-Q288-R288-S288-T288-U288-V288-W288-X288</f>
        <v>-5.820766091346741E-11</v>
      </c>
      <c r="Z288" s="23">
        <f>SUM(Z289:Z293)</f>
        <v>358653.92</v>
      </c>
      <c r="AA288" s="118">
        <f t="shared" si="32"/>
        <v>196689.32</v>
      </c>
      <c r="AB288" s="118"/>
      <c r="AC288" s="24"/>
      <c r="AD288" s="118">
        <f t="shared" si="33"/>
        <v>236724.47000000003</v>
      </c>
    </row>
    <row r="289" spans="1:30" ht="46.5">
      <c r="A289" s="171"/>
      <c r="B289" s="171"/>
      <c r="C289" s="171"/>
      <c r="D289" s="172"/>
      <c r="E289" s="26" t="s">
        <v>854</v>
      </c>
      <c r="F289" s="97">
        <v>2207</v>
      </c>
      <c r="G289" s="58"/>
      <c r="H289" s="20"/>
      <c r="I289" s="33"/>
      <c r="J289" s="58">
        <v>3110</v>
      </c>
      <c r="K289" s="20">
        <f>179045.31-173830.39+173830.39</f>
        <v>179045.31</v>
      </c>
      <c r="L289" s="50"/>
      <c r="M289" s="20"/>
      <c r="N289" s="20">
        <v>5214.919999999984</v>
      </c>
      <c r="O289" s="20">
        <v>173830.39</v>
      </c>
      <c r="P289" s="20"/>
      <c r="Q289" s="20"/>
      <c r="R289" s="20"/>
      <c r="S289" s="20"/>
      <c r="T289" s="20"/>
      <c r="U289" s="20"/>
      <c r="V289" s="20"/>
      <c r="W289" s="20"/>
      <c r="X289" s="20"/>
      <c r="Y289" s="118">
        <f t="shared" si="37"/>
        <v>0</v>
      </c>
      <c r="Z289" s="24"/>
      <c r="AA289" s="118">
        <f t="shared" si="32"/>
        <v>179045.31</v>
      </c>
      <c r="AB289" s="118"/>
      <c r="AC289" s="24"/>
      <c r="AD289" s="118">
        <f t="shared" si="33"/>
        <v>179045.31</v>
      </c>
    </row>
    <row r="290" spans="1:30" ht="78">
      <c r="A290" s="171"/>
      <c r="B290" s="171"/>
      <c r="C290" s="171"/>
      <c r="D290" s="172"/>
      <c r="E290" s="26" t="s">
        <v>855</v>
      </c>
      <c r="F290" s="97">
        <v>2208</v>
      </c>
      <c r="G290" s="58" t="s">
        <v>201</v>
      </c>
      <c r="H290" s="20">
        <v>452189.54000000004</v>
      </c>
      <c r="I290" s="58">
        <v>97</v>
      </c>
      <c r="J290" s="58">
        <v>3132</v>
      </c>
      <c r="K290" s="20">
        <f>12240.08-8010.66+8010.66</f>
        <v>12240.08</v>
      </c>
      <c r="L290" s="58">
        <v>100</v>
      </c>
      <c r="M290" s="20"/>
      <c r="N290" s="20"/>
      <c r="O290" s="20">
        <f>4229.42+8010.66</f>
        <v>12240.08</v>
      </c>
      <c r="P290" s="20"/>
      <c r="Q290" s="20"/>
      <c r="R290" s="20"/>
      <c r="S290" s="20"/>
      <c r="T290" s="20"/>
      <c r="U290" s="20"/>
      <c r="V290" s="20"/>
      <c r="W290" s="20"/>
      <c r="X290" s="20"/>
      <c r="Y290" s="118">
        <f t="shared" si="37"/>
        <v>0</v>
      </c>
      <c r="Z290" s="24"/>
      <c r="AA290" s="118">
        <f t="shared" si="32"/>
        <v>12240.08</v>
      </c>
      <c r="AB290" s="118"/>
      <c r="AC290" s="24"/>
      <c r="AD290" s="118">
        <f t="shared" si="33"/>
        <v>12240.08</v>
      </c>
    </row>
    <row r="291" spans="1:30" ht="78">
      <c r="A291" s="171"/>
      <c r="B291" s="171"/>
      <c r="C291" s="171"/>
      <c r="D291" s="172"/>
      <c r="E291" s="26" t="s">
        <v>856</v>
      </c>
      <c r="F291" s="97">
        <v>2209</v>
      </c>
      <c r="G291" s="58" t="s">
        <v>201</v>
      </c>
      <c r="H291" s="20">
        <v>450792.2</v>
      </c>
      <c r="I291" s="58">
        <v>99</v>
      </c>
      <c r="J291" s="58">
        <v>3132</v>
      </c>
      <c r="K291" s="20">
        <f>1428-1181.79+1181.79</f>
        <v>1428</v>
      </c>
      <c r="L291" s="58">
        <v>100</v>
      </c>
      <c r="M291" s="20"/>
      <c r="N291" s="20"/>
      <c r="O291" s="20">
        <f>246.21+1181.79</f>
        <v>1428</v>
      </c>
      <c r="P291" s="20"/>
      <c r="Q291" s="20"/>
      <c r="R291" s="20"/>
      <c r="S291" s="20"/>
      <c r="T291" s="20"/>
      <c r="U291" s="20"/>
      <c r="V291" s="20"/>
      <c r="W291" s="20"/>
      <c r="X291" s="20"/>
      <c r="Y291" s="118">
        <f t="shared" si="37"/>
        <v>0</v>
      </c>
      <c r="Z291" s="24"/>
      <c r="AA291" s="118">
        <f t="shared" si="32"/>
        <v>1428</v>
      </c>
      <c r="AB291" s="118"/>
      <c r="AC291" s="24"/>
      <c r="AD291" s="118">
        <f t="shared" si="33"/>
        <v>1428</v>
      </c>
    </row>
    <row r="292" spans="1:30" ht="78">
      <c r="A292" s="171"/>
      <c r="B292" s="171"/>
      <c r="C292" s="171"/>
      <c r="D292" s="172"/>
      <c r="E292" s="26" t="s">
        <v>857</v>
      </c>
      <c r="F292" s="97">
        <v>2210</v>
      </c>
      <c r="G292" s="58" t="s">
        <v>201</v>
      </c>
      <c r="H292" s="20">
        <v>450841.24</v>
      </c>
      <c r="I292" s="58">
        <v>99</v>
      </c>
      <c r="J292" s="58">
        <v>3132</v>
      </c>
      <c r="K292" s="20">
        <f>1458-895.63+895.63</f>
        <v>1458</v>
      </c>
      <c r="L292" s="58">
        <v>100</v>
      </c>
      <c r="M292" s="20"/>
      <c r="N292" s="20"/>
      <c r="O292" s="20">
        <f>562.37+895.63</f>
        <v>1458</v>
      </c>
      <c r="P292" s="20"/>
      <c r="Q292" s="20"/>
      <c r="R292" s="20"/>
      <c r="S292" s="20"/>
      <c r="T292" s="20"/>
      <c r="U292" s="20"/>
      <c r="V292" s="20"/>
      <c r="W292" s="20"/>
      <c r="X292" s="20"/>
      <c r="Y292" s="118">
        <f t="shared" si="37"/>
        <v>0</v>
      </c>
      <c r="Z292" s="24"/>
      <c r="AA292" s="118">
        <f t="shared" si="32"/>
        <v>1458</v>
      </c>
      <c r="AB292" s="118"/>
      <c r="AC292" s="24"/>
      <c r="AD292" s="118">
        <f t="shared" si="33"/>
        <v>1458</v>
      </c>
    </row>
    <row r="293" spans="1:30" ht="78">
      <c r="A293" s="171"/>
      <c r="B293" s="171"/>
      <c r="C293" s="171"/>
      <c r="D293" s="172"/>
      <c r="E293" s="26" t="s">
        <v>858</v>
      </c>
      <c r="F293" s="97">
        <v>2211</v>
      </c>
      <c r="G293" s="58" t="s">
        <v>201</v>
      </c>
      <c r="H293" s="20">
        <v>1319743.9200000002</v>
      </c>
      <c r="I293" s="58">
        <v>70</v>
      </c>
      <c r="J293" s="58">
        <v>3142</v>
      </c>
      <c r="K293" s="20">
        <f>401207-1171.85+1171.85</f>
        <v>401207</v>
      </c>
      <c r="L293" s="58">
        <v>100</v>
      </c>
      <c r="M293" s="20"/>
      <c r="N293" s="20"/>
      <c r="O293" s="20">
        <f>1171.85</f>
        <v>1171.85</v>
      </c>
      <c r="P293" s="20"/>
      <c r="Q293" s="20"/>
      <c r="R293" s="20"/>
      <c r="S293" s="20">
        <v>360000</v>
      </c>
      <c r="T293" s="20"/>
      <c r="U293" s="20"/>
      <c r="V293" s="20">
        <f>400035.15-360000</f>
        <v>40035.15000000002</v>
      </c>
      <c r="W293" s="20"/>
      <c r="X293" s="20"/>
      <c r="Y293" s="118">
        <f t="shared" si="37"/>
        <v>0</v>
      </c>
      <c r="Z293" s="24">
        <f>358653.92</f>
        <v>358653.92</v>
      </c>
      <c r="AA293" s="118">
        <f t="shared" si="32"/>
        <v>2517.929999999993</v>
      </c>
      <c r="AB293" s="118"/>
      <c r="AC293" s="24"/>
      <c r="AD293" s="118">
        <f t="shared" si="33"/>
        <v>42553.080000000016</v>
      </c>
    </row>
    <row r="294" spans="1:30" ht="15" customHeight="1">
      <c r="A294" s="168" t="s">
        <v>78</v>
      </c>
      <c r="B294" s="171" t="s">
        <v>79</v>
      </c>
      <c r="C294" s="172" t="s">
        <v>76</v>
      </c>
      <c r="D294" s="165" t="s">
        <v>80</v>
      </c>
      <c r="E294" s="26"/>
      <c r="F294" s="97"/>
      <c r="G294" s="20"/>
      <c r="H294" s="24"/>
      <c r="I294" s="33"/>
      <c r="J294" s="58"/>
      <c r="K294" s="23">
        <f aca="true" t="shared" si="38" ref="K294:X294">K295+K316</f>
        <v>8793356.719999999</v>
      </c>
      <c r="L294" s="23">
        <f t="shared" si="38"/>
        <v>800</v>
      </c>
      <c r="M294" s="23">
        <f t="shared" si="38"/>
        <v>0</v>
      </c>
      <c r="N294" s="23">
        <f t="shared" si="38"/>
        <v>1364852.84</v>
      </c>
      <c r="O294" s="23">
        <f t="shared" si="38"/>
        <v>4094698.8800000004</v>
      </c>
      <c r="P294" s="23">
        <f t="shared" si="38"/>
        <v>0</v>
      </c>
      <c r="Q294" s="23">
        <f t="shared" si="38"/>
        <v>0</v>
      </c>
      <c r="R294" s="23">
        <f t="shared" si="38"/>
        <v>-1280000</v>
      </c>
      <c r="S294" s="23">
        <f t="shared" si="38"/>
        <v>-647000</v>
      </c>
      <c r="T294" s="23">
        <f t="shared" si="38"/>
        <v>850000</v>
      </c>
      <c r="U294" s="23">
        <f t="shared" si="38"/>
        <v>424219</v>
      </c>
      <c r="V294" s="23">
        <f t="shared" si="38"/>
        <v>979828.9199999999</v>
      </c>
      <c r="W294" s="23">
        <f t="shared" si="38"/>
        <v>363212.5</v>
      </c>
      <c r="X294" s="23">
        <f t="shared" si="38"/>
        <v>2643544.58</v>
      </c>
      <c r="Y294" s="118">
        <f t="shared" si="37"/>
        <v>0</v>
      </c>
      <c r="Z294" s="23">
        <f>Z295+Z316</f>
        <v>3085336.49</v>
      </c>
      <c r="AA294" s="118">
        <f t="shared" si="32"/>
        <v>447215.23000000045</v>
      </c>
      <c r="AB294" s="118"/>
      <c r="AC294" s="24"/>
      <c r="AD294" s="118">
        <f t="shared" si="33"/>
        <v>5708020.229999999</v>
      </c>
    </row>
    <row r="295" spans="1:30" ht="20.25">
      <c r="A295" s="169"/>
      <c r="B295" s="171"/>
      <c r="C295" s="172"/>
      <c r="D295" s="166"/>
      <c r="E295" s="40" t="s">
        <v>865</v>
      </c>
      <c r="F295" s="98"/>
      <c r="G295" s="20"/>
      <c r="H295" s="24"/>
      <c r="I295" s="33"/>
      <c r="J295" s="58"/>
      <c r="K295" s="23">
        <f aca="true" t="shared" si="39" ref="K295:X295">SUM(K296:K315)</f>
        <v>8154632.72</v>
      </c>
      <c r="L295" s="23">
        <f t="shared" si="39"/>
        <v>600</v>
      </c>
      <c r="M295" s="23">
        <f t="shared" si="39"/>
        <v>0</v>
      </c>
      <c r="N295" s="23">
        <f t="shared" si="39"/>
        <v>1364852.84</v>
      </c>
      <c r="O295" s="23">
        <f t="shared" si="39"/>
        <v>3789779.8800000004</v>
      </c>
      <c r="P295" s="23">
        <f t="shared" si="39"/>
        <v>0</v>
      </c>
      <c r="Q295" s="23">
        <f t="shared" si="39"/>
        <v>0</v>
      </c>
      <c r="R295" s="23">
        <f t="shared" si="39"/>
        <v>-1280000</v>
      </c>
      <c r="S295" s="23">
        <f t="shared" si="39"/>
        <v>-347000</v>
      </c>
      <c r="T295" s="23">
        <f t="shared" si="39"/>
        <v>550000</v>
      </c>
      <c r="U295" s="23">
        <f t="shared" si="39"/>
        <v>424219</v>
      </c>
      <c r="V295" s="23">
        <f t="shared" si="39"/>
        <v>776023.9199999999</v>
      </c>
      <c r="W295" s="23">
        <f t="shared" si="39"/>
        <v>233212.5</v>
      </c>
      <c r="X295" s="23">
        <f t="shared" si="39"/>
        <v>2643544.58</v>
      </c>
      <c r="Y295" s="118">
        <f t="shared" si="37"/>
        <v>0</v>
      </c>
      <c r="Z295" s="23">
        <f>SUM(Z296:Z315)</f>
        <v>3085336.49</v>
      </c>
      <c r="AA295" s="118">
        <f t="shared" si="32"/>
        <v>442296.23000000045</v>
      </c>
      <c r="AB295" s="118"/>
      <c r="AC295" s="24"/>
      <c r="AD295" s="118">
        <f t="shared" si="33"/>
        <v>5069296.2299999995</v>
      </c>
    </row>
    <row r="296" spans="1:30" ht="21">
      <c r="A296" s="169"/>
      <c r="B296" s="171"/>
      <c r="C296" s="172"/>
      <c r="D296" s="166"/>
      <c r="E296" s="26" t="s">
        <v>859</v>
      </c>
      <c r="F296" s="97">
        <v>2212</v>
      </c>
      <c r="G296" s="58"/>
      <c r="H296" s="20"/>
      <c r="I296" s="58"/>
      <c r="J296" s="58">
        <v>3210</v>
      </c>
      <c r="K296" s="20">
        <v>400000</v>
      </c>
      <c r="L296" s="58"/>
      <c r="M296" s="20"/>
      <c r="N296" s="20"/>
      <c r="O296" s="20"/>
      <c r="P296" s="20"/>
      <c r="Q296" s="20"/>
      <c r="R296" s="20"/>
      <c r="S296" s="20">
        <f>400000-200000</f>
        <v>200000</v>
      </c>
      <c r="T296" s="20"/>
      <c r="U296" s="20"/>
      <c r="V296" s="20">
        <f>200000</f>
        <v>200000</v>
      </c>
      <c r="W296" s="20"/>
      <c r="X296" s="20"/>
      <c r="Y296" s="118">
        <f t="shared" si="37"/>
        <v>0</v>
      </c>
      <c r="Z296" s="24"/>
      <c r="AA296" s="118">
        <f t="shared" si="32"/>
        <v>200000</v>
      </c>
      <c r="AB296" s="118"/>
      <c r="AC296" s="24"/>
      <c r="AD296" s="118">
        <f t="shared" si="33"/>
        <v>400000</v>
      </c>
    </row>
    <row r="297" spans="1:30" ht="30.75">
      <c r="A297" s="169"/>
      <c r="B297" s="171"/>
      <c r="C297" s="172"/>
      <c r="D297" s="166"/>
      <c r="E297" s="26" t="s">
        <v>860</v>
      </c>
      <c r="F297" s="97">
        <v>2213</v>
      </c>
      <c r="G297" s="58"/>
      <c r="H297" s="20"/>
      <c r="I297" s="58"/>
      <c r="J297" s="58">
        <v>3210</v>
      </c>
      <c r="K297" s="20">
        <v>221700</v>
      </c>
      <c r="L297" s="58"/>
      <c r="M297" s="20"/>
      <c r="N297" s="20"/>
      <c r="O297" s="20">
        <f>221700</f>
        <v>221700</v>
      </c>
      <c r="P297" s="20"/>
      <c r="Q297" s="20"/>
      <c r="R297" s="20"/>
      <c r="S297" s="20">
        <f>221700-221700</f>
        <v>0</v>
      </c>
      <c r="T297" s="20"/>
      <c r="U297" s="20"/>
      <c r="V297" s="20"/>
      <c r="W297" s="20"/>
      <c r="X297" s="20"/>
      <c r="Y297" s="118">
        <f t="shared" si="37"/>
        <v>0</v>
      </c>
      <c r="Z297" s="24">
        <f>221000</f>
        <v>221000</v>
      </c>
      <c r="AA297" s="118">
        <f t="shared" si="32"/>
        <v>700</v>
      </c>
      <c r="AB297" s="118"/>
      <c r="AC297" s="24"/>
      <c r="AD297" s="118">
        <f t="shared" si="33"/>
        <v>700</v>
      </c>
    </row>
    <row r="298" spans="1:30" ht="30.75">
      <c r="A298" s="169"/>
      <c r="B298" s="171"/>
      <c r="C298" s="172"/>
      <c r="D298" s="166"/>
      <c r="E298" s="26" t="s">
        <v>861</v>
      </c>
      <c r="F298" s="97">
        <v>2214</v>
      </c>
      <c r="G298" s="58"/>
      <c r="H298" s="20"/>
      <c r="I298" s="58"/>
      <c r="J298" s="58">
        <v>3210</v>
      </c>
      <c r="K298" s="20">
        <v>20000</v>
      </c>
      <c r="L298" s="58"/>
      <c r="M298" s="20"/>
      <c r="N298" s="20"/>
      <c r="O298" s="20"/>
      <c r="P298" s="20"/>
      <c r="Q298" s="20"/>
      <c r="R298" s="20"/>
      <c r="S298" s="20">
        <v>20000</v>
      </c>
      <c r="T298" s="20"/>
      <c r="U298" s="20"/>
      <c r="V298" s="20"/>
      <c r="W298" s="20"/>
      <c r="X298" s="20"/>
      <c r="Y298" s="118">
        <f t="shared" si="37"/>
        <v>0</v>
      </c>
      <c r="Z298" s="24"/>
      <c r="AA298" s="118">
        <f t="shared" si="32"/>
        <v>20000</v>
      </c>
      <c r="AB298" s="118"/>
      <c r="AC298" s="24"/>
      <c r="AD298" s="118">
        <f t="shared" si="33"/>
        <v>20000</v>
      </c>
    </row>
    <row r="299" spans="1:30" ht="30.75">
      <c r="A299" s="169"/>
      <c r="B299" s="171"/>
      <c r="C299" s="172"/>
      <c r="D299" s="166"/>
      <c r="E299" s="26" t="s">
        <v>862</v>
      </c>
      <c r="F299" s="97">
        <v>2215</v>
      </c>
      <c r="G299" s="58"/>
      <c r="H299" s="20"/>
      <c r="I299" s="58"/>
      <c r="J299" s="58">
        <v>3210</v>
      </c>
      <c r="K299" s="20">
        <v>40000</v>
      </c>
      <c r="L299" s="58"/>
      <c r="M299" s="20"/>
      <c r="N299" s="20"/>
      <c r="O299" s="20"/>
      <c r="P299" s="20"/>
      <c r="Q299" s="20"/>
      <c r="R299" s="20"/>
      <c r="S299" s="20">
        <f>40000-40000</f>
        <v>0</v>
      </c>
      <c r="T299" s="20"/>
      <c r="U299" s="20">
        <f>40000</f>
        <v>40000</v>
      </c>
      <c r="V299" s="20"/>
      <c r="W299" s="20"/>
      <c r="X299" s="20"/>
      <c r="Y299" s="118">
        <f t="shared" si="37"/>
        <v>0</v>
      </c>
      <c r="Z299" s="24"/>
      <c r="AA299" s="118">
        <f t="shared" si="32"/>
        <v>0</v>
      </c>
      <c r="AB299" s="118"/>
      <c r="AC299" s="24"/>
      <c r="AD299" s="118">
        <f t="shared" si="33"/>
        <v>40000</v>
      </c>
    </row>
    <row r="300" spans="1:30" ht="30.75">
      <c r="A300" s="169"/>
      <c r="B300" s="171"/>
      <c r="C300" s="172"/>
      <c r="D300" s="166"/>
      <c r="E300" s="26" t="s">
        <v>863</v>
      </c>
      <c r="F300" s="97">
        <v>2216</v>
      </c>
      <c r="G300" s="58"/>
      <c r="H300" s="20"/>
      <c r="I300" s="58"/>
      <c r="J300" s="58">
        <v>3210</v>
      </c>
      <c r="K300" s="20">
        <v>40000</v>
      </c>
      <c r="L300" s="58"/>
      <c r="M300" s="20"/>
      <c r="N300" s="20"/>
      <c r="O300" s="20"/>
      <c r="P300" s="20"/>
      <c r="Q300" s="20"/>
      <c r="R300" s="20"/>
      <c r="S300" s="20">
        <f>40000-7000</f>
        <v>33000</v>
      </c>
      <c r="T300" s="20"/>
      <c r="U300" s="20">
        <f>7000</f>
        <v>7000</v>
      </c>
      <c r="V300" s="20"/>
      <c r="W300" s="20"/>
      <c r="X300" s="20"/>
      <c r="Y300" s="118">
        <f t="shared" si="37"/>
        <v>0</v>
      </c>
      <c r="Z300" s="24"/>
      <c r="AA300" s="118">
        <f t="shared" si="32"/>
        <v>33000</v>
      </c>
      <c r="AB300" s="118"/>
      <c r="AC300" s="24"/>
      <c r="AD300" s="118">
        <f t="shared" si="33"/>
        <v>40000</v>
      </c>
    </row>
    <row r="301" spans="1:30" ht="21">
      <c r="A301" s="169"/>
      <c r="B301" s="171"/>
      <c r="C301" s="172"/>
      <c r="D301" s="166"/>
      <c r="E301" s="26" t="s">
        <v>864</v>
      </c>
      <c r="F301" s="97">
        <v>2217</v>
      </c>
      <c r="G301" s="58"/>
      <c r="H301" s="24"/>
      <c r="I301" s="58"/>
      <c r="J301" s="58">
        <v>3210</v>
      </c>
      <c r="K301" s="24">
        <v>2500000</v>
      </c>
      <c r="L301" s="58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>
        <v>2500000</v>
      </c>
      <c r="Y301" s="118">
        <f t="shared" si="37"/>
        <v>0</v>
      </c>
      <c r="Z301" s="24"/>
      <c r="AA301" s="118">
        <f t="shared" si="32"/>
        <v>0</v>
      </c>
      <c r="AB301" s="118"/>
      <c r="AC301" s="24"/>
      <c r="AD301" s="118">
        <f t="shared" si="33"/>
        <v>2500000</v>
      </c>
    </row>
    <row r="302" spans="1:30" ht="30.75">
      <c r="A302" s="169"/>
      <c r="B302" s="171"/>
      <c r="C302" s="172"/>
      <c r="D302" s="166"/>
      <c r="E302" s="26" t="s">
        <v>823</v>
      </c>
      <c r="F302" s="97">
        <v>2583</v>
      </c>
      <c r="G302" s="58"/>
      <c r="H302" s="24"/>
      <c r="I302" s="58"/>
      <c r="J302" s="58">
        <v>3210</v>
      </c>
      <c r="K302" s="24">
        <f>17144.35</f>
        <v>17144.35</v>
      </c>
      <c r="L302" s="58"/>
      <c r="M302" s="20"/>
      <c r="N302" s="20"/>
      <c r="O302" s="20">
        <v>17144.35</v>
      </c>
      <c r="P302" s="20"/>
      <c r="Q302" s="20"/>
      <c r="R302" s="20"/>
      <c r="S302" s="20"/>
      <c r="T302" s="20"/>
      <c r="U302" s="20"/>
      <c r="V302" s="20"/>
      <c r="W302" s="20"/>
      <c r="X302" s="20"/>
      <c r="Y302" s="118">
        <f t="shared" si="37"/>
        <v>0</v>
      </c>
      <c r="Z302" s="24">
        <f>17144.34</f>
        <v>17144.34</v>
      </c>
      <c r="AA302" s="118">
        <f t="shared" si="32"/>
        <v>0.00999999999839929</v>
      </c>
      <c r="AB302" s="118"/>
      <c r="AC302" s="24"/>
      <c r="AD302" s="118">
        <f t="shared" si="33"/>
        <v>0.00999999999839929</v>
      </c>
    </row>
    <row r="303" spans="1:30" ht="21">
      <c r="A303" s="169"/>
      <c r="B303" s="171"/>
      <c r="C303" s="172"/>
      <c r="D303" s="166"/>
      <c r="E303" s="26" t="s">
        <v>824</v>
      </c>
      <c r="F303" s="97">
        <v>2584</v>
      </c>
      <c r="G303" s="58"/>
      <c r="H303" s="24"/>
      <c r="I303" s="58"/>
      <c r="J303" s="58">
        <v>3210</v>
      </c>
      <c r="K303" s="24">
        <v>29000</v>
      </c>
      <c r="L303" s="58"/>
      <c r="M303" s="20"/>
      <c r="N303" s="20">
        <v>29000</v>
      </c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118">
        <f t="shared" si="37"/>
        <v>0</v>
      </c>
      <c r="Z303" s="24">
        <v>29000</v>
      </c>
      <c r="AA303" s="118">
        <f t="shared" si="32"/>
        <v>0</v>
      </c>
      <c r="AB303" s="118"/>
      <c r="AC303" s="24"/>
      <c r="AD303" s="118">
        <f t="shared" si="33"/>
        <v>0</v>
      </c>
    </row>
    <row r="304" spans="1:30" ht="30.75">
      <c r="A304" s="169"/>
      <c r="B304" s="171"/>
      <c r="C304" s="172"/>
      <c r="D304" s="166"/>
      <c r="E304" s="26" t="s">
        <v>825</v>
      </c>
      <c r="F304" s="97">
        <v>2585</v>
      </c>
      <c r="G304" s="58"/>
      <c r="H304" s="24"/>
      <c r="I304" s="58"/>
      <c r="J304" s="58">
        <v>3210</v>
      </c>
      <c r="K304" s="24">
        <v>70000</v>
      </c>
      <c r="L304" s="58"/>
      <c r="M304" s="20"/>
      <c r="N304" s="20">
        <v>70000</v>
      </c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118">
        <f t="shared" si="37"/>
        <v>0</v>
      </c>
      <c r="Z304" s="24">
        <v>69852.76</v>
      </c>
      <c r="AA304" s="118">
        <f t="shared" si="32"/>
        <v>147.24000000000524</v>
      </c>
      <c r="AB304" s="118"/>
      <c r="AC304" s="24"/>
      <c r="AD304" s="118">
        <f t="shared" si="33"/>
        <v>147.24000000000524</v>
      </c>
    </row>
    <row r="305" spans="1:30" ht="30.75">
      <c r="A305" s="169"/>
      <c r="B305" s="171"/>
      <c r="C305" s="172"/>
      <c r="D305" s="166"/>
      <c r="E305" s="26" t="s">
        <v>828</v>
      </c>
      <c r="F305" s="97">
        <v>2588</v>
      </c>
      <c r="G305" s="58"/>
      <c r="H305" s="24"/>
      <c r="I305" s="58"/>
      <c r="J305" s="58">
        <v>3210</v>
      </c>
      <c r="K305" s="24">
        <v>280000</v>
      </c>
      <c r="L305" s="58"/>
      <c r="M305" s="20"/>
      <c r="N305" s="20"/>
      <c r="O305" s="20">
        <v>280000</v>
      </c>
      <c r="P305" s="20"/>
      <c r="Q305" s="20"/>
      <c r="R305" s="20">
        <v>-280000</v>
      </c>
      <c r="S305" s="20"/>
      <c r="T305" s="20"/>
      <c r="U305" s="20"/>
      <c r="V305" s="20">
        <f>204655</f>
        <v>204655</v>
      </c>
      <c r="W305" s="20">
        <f>75345</f>
        <v>75345</v>
      </c>
      <c r="X305" s="20"/>
      <c r="Y305" s="118">
        <f t="shared" si="37"/>
        <v>0</v>
      </c>
      <c r="Z305" s="24"/>
      <c r="AA305" s="118">
        <f t="shared" si="32"/>
        <v>0</v>
      </c>
      <c r="AB305" s="118"/>
      <c r="AC305" s="24"/>
      <c r="AD305" s="118">
        <f t="shared" si="33"/>
        <v>280000</v>
      </c>
    </row>
    <row r="306" spans="1:30" ht="30.75">
      <c r="A306" s="169"/>
      <c r="B306" s="171"/>
      <c r="C306" s="172"/>
      <c r="D306" s="166"/>
      <c r="E306" s="26" t="s">
        <v>829</v>
      </c>
      <c r="F306" s="97">
        <v>2589</v>
      </c>
      <c r="G306" s="58"/>
      <c r="H306" s="24"/>
      <c r="I306" s="58"/>
      <c r="J306" s="58">
        <v>3210</v>
      </c>
      <c r="K306" s="24">
        <v>190000</v>
      </c>
      <c r="L306" s="58"/>
      <c r="M306" s="20"/>
      <c r="N306" s="20"/>
      <c r="O306" s="20">
        <v>190000</v>
      </c>
      <c r="P306" s="20"/>
      <c r="Q306" s="20"/>
      <c r="R306" s="20"/>
      <c r="S306" s="20">
        <f>-190000</f>
        <v>-190000</v>
      </c>
      <c r="T306" s="20">
        <f>190000</f>
        <v>190000</v>
      </c>
      <c r="U306" s="20"/>
      <c r="V306" s="20"/>
      <c r="W306" s="20"/>
      <c r="X306" s="20"/>
      <c r="Y306" s="118">
        <f t="shared" si="37"/>
        <v>0</v>
      </c>
      <c r="Z306" s="24"/>
      <c r="AA306" s="118">
        <f t="shared" si="32"/>
        <v>0</v>
      </c>
      <c r="AB306" s="118"/>
      <c r="AC306" s="24"/>
      <c r="AD306" s="118">
        <f t="shared" si="33"/>
        <v>190000</v>
      </c>
    </row>
    <row r="307" spans="1:30" ht="30.75">
      <c r="A307" s="169"/>
      <c r="B307" s="171"/>
      <c r="C307" s="172"/>
      <c r="D307" s="166"/>
      <c r="E307" s="26" t="s">
        <v>830</v>
      </c>
      <c r="F307" s="97">
        <v>2590</v>
      </c>
      <c r="G307" s="58"/>
      <c r="H307" s="24"/>
      <c r="I307" s="58"/>
      <c r="J307" s="58">
        <v>3210</v>
      </c>
      <c r="K307" s="24">
        <v>110000</v>
      </c>
      <c r="L307" s="58"/>
      <c r="M307" s="20"/>
      <c r="N307" s="20"/>
      <c r="O307" s="20">
        <v>110000</v>
      </c>
      <c r="P307" s="20"/>
      <c r="Q307" s="20"/>
      <c r="R307" s="20"/>
      <c r="S307" s="20">
        <f>-110000</f>
        <v>-110000</v>
      </c>
      <c r="T307" s="20">
        <f>110000</f>
        <v>110000</v>
      </c>
      <c r="U307" s="20"/>
      <c r="V307" s="20"/>
      <c r="W307" s="20"/>
      <c r="X307" s="20"/>
      <c r="Y307" s="118">
        <f t="shared" si="37"/>
        <v>0</v>
      </c>
      <c r="Z307" s="24"/>
      <c r="AA307" s="118">
        <f t="shared" si="32"/>
        <v>0</v>
      </c>
      <c r="AB307" s="118"/>
      <c r="AC307" s="24"/>
      <c r="AD307" s="118">
        <f t="shared" si="33"/>
        <v>110000</v>
      </c>
    </row>
    <row r="308" spans="1:30" ht="46.5">
      <c r="A308" s="169"/>
      <c r="B308" s="171"/>
      <c r="C308" s="172"/>
      <c r="D308" s="166"/>
      <c r="E308" s="26" t="s">
        <v>827</v>
      </c>
      <c r="F308" s="97">
        <v>2587</v>
      </c>
      <c r="G308" s="58"/>
      <c r="H308" s="24"/>
      <c r="I308" s="58"/>
      <c r="J308" s="58">
        <v>3210</v>
      </c>
      <c r="K308" s="24">
        <v>1000000</v>
      </c>
      <c r="L308" s="58"/>
      <c r="M308" s="20"/>
      <c r="N308" s="20"/>
      <c r="O308" s="20">
        <v>1000000</v>
      </c>
      <c r="P308" s="20"/>
      <c r="Q308" s="20"/>
      <c r="R308" s="20">
        <f>-1000000</f>
        <v>-1000000</v>
      </c>
      <c r="S308" s="20"/>
      <c r="T308" s="20">
        <f>150000</f>
        <v>150000</v>
      </c>
      <c r="U308" s="20">
        <f>177219</f>
        <v>177219</v>
      </c>
      <c r="V308" s="20">
        <f>371368.92</f>
        <v>371368.92</v>
      </c>
      <c r="W308" s="20">
        <f>157867.5</f>
        <v>157867.5</v>
      </c>
      <c r="X308" s="20">
        <f>143544.58</f>
        <v>143544.58</v>
      </c>
      <c r="Y308" s="118">
        <f t="shared" si="37"/>
        <v>0</v>
      </c>
      <c r="Z308" s="24"/>
      <c r="AA308" s="118">
        <f t="shared" si="32"/>
        <v>0</v>
      </c>
      <c r="AB308" s="118"/>
      <c r="AC308" s="24"/>
      <c r="AD308" s="118">
        <f t="shared" si="33"/>
        <v>1000000</v>
      </c>
    </row>
    <row r="309" spans="1:30" ht="30.75">
      <c r="A309" s="169"/>
      <c r="B309" s="171"/>
      <c r="C309" s="172"/>
      <c r="D309" s="166"/>
      <c r="E309" s="26" t="s">
        <v>568</v>
      </c>
      <c r="F309" s="97">
        <v>2218</v>
      </c>
      <c r="G309" s="58" t="s">
        <v>201</v>
      </c>
      <c r="H309" s="20">
        <v>988000</v>
      </c>
      <c r="I309" s="58">
        <v>50</v>
      </c>
      <c r="J309" s="58">
        <v>3210</v>
      </c>
      <c r="K309" s="20">
        <v>494418.2</v>
      </c>
      <c r="L309" s="58">
        <v>100</v>
      </c>
      <c r="M309" s="20"/>
      <c r="N309" s="20"/>
      <c r="O309" s="20">
        <f>494418.2</f>
        <v>494418.2</v>
      </c>
      <c r="P309" s="20">
        <f>494418.2-494418.2</f>
        <v>0</v>
      </c>
      <c r="Q309" s="20"/>
      <c r="R309" s="20"/>
      <c r="S309" s="20"/>
      <c r="T309" s="20"/>
      <c r="U309" s="20"/>
      <c r="V309" s="20"/>
      <c r="W309" s="20"/>
      <c r="X309" s="20"/>
      <c r="Y309" s="118">
        <f t="shared" si="37"/>
        <v>0</v>
      </c>
      <c r="Z309" s="24">
        <f>439626.8+12702</f>
        <v>452328.8</v>
      </c>
      <c r="AA309" s="118">
        <f t="shared" si="32"/>
        <v>42089.40000000002</v>
      </c>
      <c r="AB309" s="118"/>
      <c r="AC309" s="24"/>
      <c r="AD309" s="118">
        <f t="shared" si="33"/>
        <v>42089.40000000002</v>
      </c>
    </row>
    <row r="310" spans="1:30" ht="62.25" hidden="1">
      <c r="A310" s="169"/>
      <c r="B310" s="171"/>
      <c r="C310" s="172"/>
      <c r="D310" s="166"/>
      <c r="E310" s="26" t="s">
        <v>569</v>
      </c>
      <c r="F310" s="97">
        <v>2219</v>
      </c>
      <c r="G310" s="58" t="s">
        <v>201</v>
      </c>
      <c r="H310" s="20">
        <v>768000</v>
      </c>
      <c r="I310" s="58">
        <v>98</v>
      </c>
      <c r="J310" s="58">
        <v>3210</v>
      </c>
      <c r="K310" s="20">
        <f>17144.35-17144.35</f>
        <v>0</v>
      </c>
      <c r="L310" s="58">
        <v>100</v>
      </c>
      <c r="M310" s="20"/>
      <c r="N310" s="20"/>
      <c r="O310" s="20">
        <f>17144.35-17144.35</f>
        <v>0</v>
      </c>
      <c r="P310" s="20"/>
      <c r="Q310" s="20"/>
      <c r="R310" s="20"/>
      <c r="S310" s="20"/>
      <c r="T310" s="20"/>
      <c r="U310" s="20"/>
      <c r="V310" s="20"/>
      <c r="W310" s="20"/>
      <c r="X310" s="20"/>
      <c r="Y310" s="118">
        <f t="shared" si="37"/>
        <v>0</v>
      </c>
      <c r="Z310" s="24"/>
      <c r="AA310" s="118">
        <f t="shared" si="32"/>
        <v>0</v>
      </c>
      <c r="AB310" s="118"/>
      <c r="AC310" s="24"/>
      <c r="AD310" s="118">
        <f t="shared" si="33"/>
        <v>0</v>
      </c>
    </row>
    <row r="311" spans="1:30" ht="30.75">
      <c r="A311" s="169"/>
      <c r="B311" s="171"/>
      <c r="C311" s="172"/>
      <c r="D311" s="166"/>
      <c r="E311" s="26" t="s">
        <v>570</v>
      </c>
      <c r="F311" s="97">
        <v>2220</v>
      </c>
      <c r="G311" s="58" t="s">
        <v>201</v>
      </c>
      <c r="H311" s="20">
        <v>2333000</v>
      </c>
      <c r="I311" s="58">
        <v>50</v>
      </c>
      <c r="J311" s="58">
        <v>3210</v>
      </c>
      <c r="K311" s="20">
        <v>1146377.5</v>
      </c>
      <c r="L311" s="58">
        <v>100</v>
      </c>
      <c r="M311" s="20"/>
      <c r="N311" s="20"/>
      <c r="O311" s="20">
        <f>1146377.5</f>
        <v>1146377.5</v>
      </c>
      <c r="P311" s="20"/>
      <c r="Q311" s="20"/>
      <c r="R311" s="20"/>
      <c r="S311" s="20"/>
      <c r="T311" s="20">
        <f>548529.4-548529.4</f>
        <v>0</v>
      </c>
      <c r="U311" s="20"/>
      <c r="V311" s="20">
        <f>200000-200000</f>
        <v>0</v>
      </c>
      <c r="W311" s="20">
        <f>300000-300000</f>
        <v>0</v>
      </c>
      <c r="X311" s="20">
        <f>97848.1-97848.1</f>
        <v>0</v>
      </c>
      <c r="Y311" s="118">
        <f t="shared" si="37"/>
        <v>0</v>
      </c>
      <c r="Z311" s="24">
        <f>1033699.16</f>
        <v>1033699.16</v>
      </c>
      <c r="AA311" s="118">
        <f t="shared" si="32"/>
        <v>112678.33999999997</v>
      </c>
      <c r="AB311" s="118"/>
      <c r="AC311" s="24"/>
      <c r="AD311" s="118">
        <f t="shared" si="33"/>
        <v>112678.33999999997</v>
      </c>
    </row>
    <row r="312" spans="1:30" ht="46.5">
      <c r="A312" s="169"/>
      <c r="B312" s="171"/>
      <c r="C312" s="172"/>
      <c r="D312" s="166"/>
      <c r="E312" s="26" t="s">
        <v>571</v>
      </c>
      <c r="F312" s="97">
        <v>2221</v>
      </c>
      <c r="G312" s="58" t="s">
        <v>201</v>
      </c>
      <c r="H312" s="20">
        <v>1798000</v>
      </c>
      <c r="I312" s="58">
        <v>66</v>
      </c>
      <c r="J312" s="58">
        <v>3210</v>
      </c>
      <c r="K312" s="20">
        <f>604860.64-399000</f>
        <v>205860.64</v>
      </c>
      <c r="L312" s="58">
        <v>100</v>
      </c>
      <c r="M312" s="20"/>
      <c r="N312" s="20">
        <f>604860.64-399000</f>
        <v>205860.64</v>
      </c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118">
        <f t="shared" si="37"/>
        <v>0</v>
      </c>
      <c r="Z312" s="24">
        <f>194123.64</f>
        <v>194123.64</v>
      </c>
      <c r="AA312" s="118">
        <f t="shared" si="32"/>
        <v>11737</v>
      </c>
      <c r="AB312" s="118"/>
      <c r="AC312" s="24"/>
      <c r="AD312" s="118">
        <f t="shared" si="33"/>
        <v>11737</v>
      </c>
    </row>
    <row r="313" spans="1:30" ht="46.5">
      <c r="A313" s="169"/>
      <c r="B313" s="171"/>
      <c r="C313" s="172"/>
      <c r="D313" s="166"/>
      <c r="E313" s="26" t="s">
        <v>572</v>
      </c>
      <c r="F313" s="97">
        <v>2222</v>
      </c>
      <c r="G313" s="58" t="s">
        <v>201</v>
      </c>
      <c r="H313" s="20">
        <v>1490000</v>
      </c>
      <c r="I313" s="58">
        <v>76</v>
      </c>
      <c r="J313" s="58">
        <v>3210</v>
      </c>
      <c r="K313" s="20">
        <v>359992.2</v>
      </c>
      <c r="L313" s="58">
        <v>100</v>
      </c>
      <c r="M313" s="20"/>
      <c r="N313" s="20">
        <v>359992.2</v>
      </c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118">
        <f t="shared" si="37"/>
        <v>0</v>
      </c>
      <c r="Z313" s="24">
        <v>343420.2</v>
      </c>
      <c r="AA313" s="118">
        <f t="shared" si="32"/>
        <v>16572</v>
      </c>
      <c r="AB313" s="118"/>
      <c r="AC313" s="24"/>
      <c r="AD313" s="118">
        <f t="shared" si="33"/>
        <v>16572</v>
      </c>
    </row>
    <row r="314" spans="1:30" ht="30.75">
      <c r="A314" s="169"/>
      <c r="B314" s="171"/>
      <c r="C314" s="172"/>
      <c r="D314" s="166"/>
      <c r="E314" s="26" t="s">
        <v>573</v>
      </c>
      <c r="F314" s="97">
        <v>2223</v>
      </c>
      <c r="G314" s="58" t="s">
        <v>201</v>
      </c>
      <c r="H314" s="20">
        <v>1450000</v>
      </c>
      <c r="I314" s="58">
        <v>50</v>
      </c>
      <c r="J314" s="58">
        <v>3210</v>
      </c>
      <c r="K314" s="20">
        <v>730139.83</v>
      </c>
      <c r="L314" s="58">
        <v>100</v>
      </c>
      <c r="M314" s="20"/>
      <c r="N314" s="20">
        <v>400000</v>
      </c>
      <c r="O314" s="20">
        <f>330139.83</f>
        <v>330139.83</v>
      </c>
      <c r="P314" s="20"/>
      <c r="Q314" s="20"/>
      <c r="R314" s="20"/>
      <c r="S314" s="20"/>
      <c r="T314" s="20"/>
      <c r="U314" s="20"/>
      <c r="V314" s="20">
        <f>200000-200000</f>
        <v>0</v>
      </c>
      <c r="W314" s="20">
        <f>130139.83-130139.83</f>
        <v>0</v>
      </c>
      <c r="X314" s="20"/>
      <c r="Y314" s="118">
        <f t="shared" si="37"/>
        <v>-5.820766091346741E-11</v>
      </c>
      <c r="Z314" s="24">
        <f>400000+324767.59</f>
        <v>724767.5900000001</v>
      </c>
      <c r="AA314" s="118">
        <f t="shared" si="32"/>
        <v>5372.239999999991</v>
      </c>
      <c r="AB314" s="118"/>
      <c r="AC314" s="24"/>
      <c r="AD314" s="118">
        <f t="shared" si="33"/>
        <v>5372.239999999874</v>
      </c>
    </row>
    <row r="315" spans="1:30" ht="30.75">
      <c r="A315" s="169"/>
      <c r="B315" s="171"/>
      <c r="C315" s="172"/>
      <c r="D315" s="166"/>
      <c r="E315" s="26" t="s">
        <v>826</v>
      </c>
      <c r="F315" s="97">
        <v>2586</v>
      </c>
      <c r="G315" s="58"/>
      <c r="H315" s="20"/>
      <c r="I315" s="58"/>
      <c r="J315" s="58">
        <v>3210</v>
      </c>
      <c r="K315" s="20">
        <v>300000</v>
      </c>
      <c r="L315" s="58"/>
      <c r="M315" s="20"/>
      <c r="N315" s="20">
        <v>300000</v>
      </c>
      <c r="O315" s="20"/>
      <c r="P315" s="20"/>
      <c r="Q315" s="20"/>
      <c r="R315" s="20"/>
      <c r="S315" s="20">
        <f>-300000</f>
        <v>-300000</v>
      </c>
      <c r="T315" s="20">
        <f>100000</f>
        <v>100000</v>
      </c>
      <c r="U315" s="20">
        <f>200000</f>
        <v>200000</v>
      </c>
      <c r="V315" s="20"/>
      <c r="W315" s="20"/>
      <c r="X315" s="20"/>
      <c r="Y315" s="118">
        <f t="shared" si="37"/>
        <v>0</v>
      </c>
      <c r="Z315" s="24"/>
      <c r="AA315" s="118">
        <f t="shared" si="32"/>
        <v>0</v>
      </c>
      <c r="AB315" s="118"/>
      <c r="AC315" s="24"/>
      <c r="AD315" s="118">
        <f t="shared" si="33"/>
        <v>300000</v>
      </c>
    </row>
    <row r="316" spans="1:30" ht="30.75">
      <c r="A316" s="169"/>
      <c r="B316" s="171"/>
      <c r="C316" s="172"/>
      <c r="D316" s="166"/>
      <c r="E316" s="40" t="s">
        <v>81</v>
      </c>
      <c r="F316" s="98"/>
      <c r="G316" s="20"/>
      <c r="H316" s="24"/>
      <c r="I316" s="33"/>
      <c r="J316" s="58"/>
      <c r="K316" s="23">
        <f>SUM(K317:K319)</f>
        <v>638724</v>
      </c>
      <c r="L316" s="23">
        <f>SUM(L317:N319)</f>
        <v>200</v>
      </c>
      <c r="M316" s="23">
        <f>SUM(M317:M319)</f>
        <v>0</v>
      </c>
      <c r="N316" s="23">
        <f aca="true" t="shared" si="40" ref="N316:X316">SUM(N317:N319)</f>
        <v>0</v>
      </c>
      <c r="O316" s="23">
        <f t="shared" si="40"/>
        <v>304919</v>
      </c>
      <c r="P316" s="23">
        <f t="shared" si="40"/>
        <v>0</v>
      </c>
      <c r="Q316" s="23">
        <f t="shared" si="40"/>
        <v>0</v>
      </c>
      <c r="R316" s="23">
        <f t="shared" si="40"/>
        <v>0</v>
      </c>
      <c r="S316" s="23">
        <f t="shared" si="40"/>
        <v>-300000</v>
      </c>
      <c r="T316" s="23">
        <f t="shared" si="40"/>
        <v>300000</v>
      </c>
      <c r="U316" s="23">
        <f t="shared" si="40"/>
        <v>0</v>
      </c>
      <c r="V316" s="23">
        <f t="shared" si="40"/>
        <v>203805</v>
      </c>
      <c r="W316" s="23">
        <f t="shared" si="40"/>
        <v>130000</v>
      </c>
      <c r="X316" s="23">
        <f t="shared" si="40"/>
        <v>0</v>
      </c>
      <c r="Y316" s="118">
        <f t="shared" si="37"/>
        <v>0</v>
      </c>
      <c r="Z316" s="23">
        <f>SUM(Z317:Z319)</f>
        <v>0</v>
      </c>
      <c r="AA316" s="118">
        <f t="shared" si="32"/>
        <v>4919</v>
      </c>
      <c r="AB316" s="118"/>
      <c r="AC316" s="24"/>
      <c r="AD316" s="118">
        <f t="shared" si="33"/>
        <v>638724</v>
      </c>
    </row>
    <row r="317" spans="1:30" ht="62.25">
      <c r="A317" s="169"/>
      <c r="B317" s="171"/>
      <c r="C317" s="172"/>
      <c r="D317" s="166"/>
      <c r="E317" s="26" t="s">
        <v>574</v>
      </c>
      <c r="F317" s="97">
        <v>2224</v>
      </c>
      <c r="G317" s="58" t="s">
        <v>201</v>
      </c>
      <c r="H317" s="20">
        <v>630000</v>
      </c>
      <c r="I317" s="58">
        <v>50</v>
      </c>
      <c r="J317" s="58">
        <v>3210</v>
      </c>
      <c r="K317" s="20">
        <v>330000</v>
      </c>
      <c r="L317" s="58">
        <v>100</v>
      </c>
      <c r="M317" s="20"/>
      <c r="N317" s="20"/>
      <c r="O317" s="20"/>
      <c r="P317" s="20"/>
      <c r="Q317" s="20"/>
      <c r="R317" s="20"/>
      <c r="S317" s="20"/>
      <c r="T317" s="20"/>
      <c r="U317" s="20"/>
      <c r="V317" s="20">
        <v>200000</v>
      </c>
      <c r="W317" s="20">
        <v>130000</v>
      </c>
      <c r="X317" s="20"/>
      <c r="Y317" s="118">
        <f t="shared" si="37"/>
        <v>0</v>
      </c>
      <c r="Z317" s="24"/>
      <c r="AA317" s="118">
        <f t="shared" si="32"/>
        <v>0</v>
      </c>
      <c r="AB317" s="118"/>
      <c r="AC317" s="24"/>
      <c r="AD317" s="118">
        <f t="shared" si="33"/>
        <v>330000</v>
      </c>
    </row>
    <row r="318" spans="1:30" ht="30.75">
      <c r="A318" s="169"/>
      <c r="B318" s="171"/>
      <c r="C318" s="172"/>
      <c r="D318" s="166"/>
      <c r="E318" s="26" t="s">
        <v>575</v>
      </c>
      <c r="F318" s="97">
        <v>2225</v>
      </c>
      <c r="G318" s="58" t="s">
        <v>201</v>
      </c>
      <c r="H318" s="20">
        <v>516500</v>
      </c>
      <c r="I318" s="58">
        <v>100</v>
      </c>
      <c r="J318" s="58">
        <v>3210</v>
      </c>
      <c r="K318" s="20">
        <v>3805</v>
      </c>
      <c r="L318" s="58">
        <v>100</v>
      </c>
      <c r="M318" s="20"/>
      <c r="N318" s="20"/>
      <c r="O318" s="20"/>
      <c r="P318" s="20"/>
      <c r="Q318" s="20"/>
      <c r="R318" s="20"/>
      <c r="S318" s="20"/>
      <c r="T318" s="20"/>
      <c r="U318" s="20"/>
      <c r="V318" s="20">
        <v>3805</v>
      </c>
      <c r="W318" s="20"/>
      <c r="X318" s="20"/>
      <c r="Y318" s="118">
        <f t="shared" si="37"/>
        <v>0</v>
      </c>
      <c r="Z318" s="24"/>
      <c r="AA318" s="118">
        <f t="shared" si="32"/>
        <v>0</v>
      </c>
      <c r="AB318" s="118"/>
      <c r="AC318" s="24"/>
      <c r="AD318" s="118">
        <f t="shared" si="33"/>
        <v>3805</v>
      </c>
    </row>
    <row r="319" spans="1:30" ht="46.5">
      <c r="A319" s="170"/>
      <c r="B319" s="109"/>
      <c r="C319" s="111"/>
      <c r="D319" s="167"/>
      <c r="E319" s="26" t="s">
        <v>831</v>
      </c>
      <c r="F319" s="97">
        <v>2591</v>
      </c>
      <c r="G319" s="58"/>
      <c r="H319" s="20"/>
      <c r="I319" s="58"/>
      <c r="J319" s="58">
        <v>3210</v>
      </c>
      <c r="K319" s="20">
        <v>304919</v>
      </c>
      <c r="L319" s="58"/>
      <c r="M319" s="20"/>
      <c r="N319" s="20"/>
      <c r="O319" s="20">
        <v>304919</v>
      </c>
      <c r="P319" s="20"/>
      <c r="Q319" s="20"/>
      <c r="R319" s="20"/>
      <c r="S319" s="20">
        <f>-300000</f>
        <v>-300000</v>
      </c>
      <c r="T319" s="20">
        <f>300000</f>
        <v>300000</v>
      </c>
      <c r="U319" s="20"/>
      <c r="V319" s="20"/>
      <c r="W319" s="20"/>
      <c r="X319" s="20"/>
      <c r="Y319" s="118">
        <f t="shared" si="37"/>
        <v>0</v>
      </c>
      <c r="Z319" s="24"/>
      <c r="AA319" s="118">
        <f t="shared" si="32"/>
        <v>4919</v>
      </c>
      <c r="AB319" s="118"/>
      <c r="AC319" s="24"/>
      <c r="AD319" s="118">
        <f t="shared" si="33"/>
        <v>304919</v>
      </c>
    </row>
    <row r="320" spans="1:30" ht="21">
      <c r="A320" s="168" t="s">
        <v>832</v>
      </c>
      <c r="B320" s="168" t="s">
        <v>833</v>
      </c>
      <c r="C320" s="165">
        <v>180</v>
      </c>
      <c r="D320" s="165" t="s">
        <v>834</v>
      </c>
      <c r="E320" s="26"/>
      <c r="F320" s="97"/>
      <c r="G320" s="58"/>
      <c r="H320" s="20"/>
      <c r="I320" s="58"/>
      <c r="J320" s="58"/>
      <c r="K320" s="23">
        <f>K321</f>
        <v>200000</v>
      </c>
      <c r="L320" s="23">
        <f aca="true" t="shared" si="41" ref="L320:Z320">L321</f>
        <v>0</v>
      </c>
      <c r="M320" s="23">
        <f t="shared" si="41"/>
        <v>0</v>
      </c>
      <c r="N320" s="23">
        <f t="shared" si="41"/>
        <v>0</v>
      </c>
      <c r="O320" s="23">
        <f t="shared" si="41"/>
        <v>0</v>
      </c>
      <c r="P320" s="23">
        <f t="shared" si="41"/>
        <v>0</v>
      </c>
      <c r="Q320" s="23">
        <f t="shared" si="41"/>
        <v>0</v>
      </c>
      <c r="R320" s="23">
        <f t="shared" si="41"/>
        <v>0</v>
      </c>
      <c r="S320" s="23">
        <f t="shared" si="41"/>
        <v>0</v>
      </c>
      <c r="T320" s="23">
        <f t="shared" si="41"/>
        <v>0</v>
      </c>
      <c r="U320" s="23">
        <f t="shared" si="41"/>
        <v>0</v>
      </c>
      <c r="V320" s="23">
        <f t="shared" si="41"/>
        <v>0</v>
      </c>
      <c r="W320" s="23">
        <f t="shared" si="41"/>
        <v>0</v>
      </c>
      <c r="X320" s="23">
        <f t="shared" si="41"/>
        <v>200000</v>
      </c>
      <c r="Y320" s="118">
        <f t="shared" si="37"/>
        <v>0</v>
      </c>
      <c r="Z320" s="23">
        <f t="shared" si="41"/>
        <v>0</v>
      </c>
      <c r="AA320" s="118">
        <f t="shared" si="32"/>
        <v>0</v>
      </c>
      <c r="AB320" s="118"/>
      <c r="AC320" s="24"/>
      <c r="AD320" s="118">
        <f t="shared" si="33"/>
        <v>200000</v>
      </c>
    </row>
    <row r="321" spans="1:30" ht="78">
      <c r="A321" s="170"/>
      <c r="B321" s="170"/>
      <c r="C321" s="167"/>
      <c r="D321" s="167"/>
      <c r="E321" s="26" t="s">
        <v>835</v>
      </c>
      <c r="F321" s="97">
        <v>2592</v>
      </c>
      <c r="G321" s="58"/>
      <c r="H321" s="20"/>
      <c r="I321" s="58"/>
      <c r="J321" s="58">
        <v>3220</v>
      </c>
      <c r="K321" s="20">
        <v>200000</v>
      </c>
      <c r="L321" s="58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>
        <v>200000</v>
      </c>
      <c r="Y321" s="118">
        <f t="shared" si="37"/>
        <v>0</v>
      </c>
      <c r="Z321" s="24"/>
      <c r="AA321" s="118">
        <f t="shared" si="32"/>
        <v>0</v>
      </c>
      <c r="AB321" s="118"/>
      <c r="AC321" s="24"/>
      <c r="AD321" s="118">
        <f t="shared" si="33"/>
        <v>200000</v>
      </c>
    </row>
    <row r="322" spans="1:30" ht="46.5">
      <c r="A322" s="114" t="s">
        <v>5</v>
      </c>
      <c r="B322" s="119"/>
      <c r="C322" s="120"/>
      <c r="D322" s="112" t="s">
        <v>7</v>
      </c>
      <c r="E322" s="28"/>
      <c r="F322" s="99"/>
      <c r="G322" s="20"/>
      <c r="H322" s="20"/>
      <c r="I322" s="33"/>
      <c r="J322" s="58"/>
      <c r="K322" s="23">
        <f>K323</f>
        <v>93709033.31</v>
      </c>
      <c r="L322" s="23">
        <f aca="true" t="shared" si="42" ref="L322:Z322">L323</f>
        <v>949.4</v>
      </c>
      <c r="M322" s="23">
        <f t="shared" si="42"/>
        <v>0</v>
      </c>
      <c r="N322" s="23">
        <f t="shared" si="42"/>
        <v>2405339.81</v>
      </c>
      <c r="O322" s="23">
        <f t="shared" si="42"/>
        <v>9827062.2</v>
      </c>
      <c r="P322" s="23">
        <f t="shared" si="42"/>
        <v>7602436.12</v>
      </c>
      <c r="Q322" s="23">
        <f t="shared" si="42"/>
        <v>17301163</v>
      </c>
      <c r="R322" s="23">
        <f t="shared" si="42"/>
        <v>3122616.99</v>
      </c>
      <c r="S322" s="23">
        <f t="shared" si="42"/>
        <v>3940873.47</v>
      </c>
      <c r="T322" s="23">
        <f t="shared" si="42"/>
        <v>1788710.6399999997</v>
      </c>
      <c r="U322" s="23">
        <f t="shared" si="42"/>
        <v>10427733.84</v>
      </c>
      <c r="V322" s="23">
        <f t="shared" si="42"/>
        <v>14777066.889999999</v>
      </c>
      <c r="W322" s="23">
        <f t="shared" si="42"/>
        <v>16274683</v>
      </c>
      <c r="X322" s="23">
        <f t="shared" si="42"/>
        <v>6241347.35</v>
      </c>
      <c r="Y322" s="118">
        <f t="shared" si="37"/>
        <v>0</v>
      </c>
      <c r="Z322" s="23">
        <f t="shared" si="42"/>
        <v>43212009.32</v>
      </c>
      <c r="AA322" s="118">
        <f t="shared" si="32"/>
        <v>987482.2699999958</v>
      </c>
      <c r="AB322" s="118"/>
      <c r="AC322" s="24"/>
      <c r="AD322" s="118">
        <f t="shared" si="33"/>
        <v>50497023.99</v>
      </c>
    </row>
    <row r="323" spans="1:30" ht="46.5">
      <c r="A323" s="114" t="s">
        <v>6</v>
      </c>
      <c r="B323" s="119"/>
      <c r="C323" s="120"/>
      <c r="D323" s="112" t="s">
        <v>7</v>
      </c>
      <c r="E323" s="28"/>
      <c r="F323" s="99"/>
      <c r="G323" s="20"/>
      <c r="H323" s="20"/>
      <c r="I323" s="33"/>
      <c r="J323" s="58"/>
      <c r="K323" s="23">
        <f>K324</f>
        <v>93709033.31</v>
      </c>
      <c r="L323" s="23">
        <f aca="true" t="shared" si="43" ref="L323:Z323">L324</f>
        <v>949.4</v>
      </c>
      <c r="M323" s="23">
        <f t="shared" si="43"/>
        <v>0</v>
      </c>
      <c r="N323" s="23">
        <f t="shared" si="43"/>
        <v>2405339.81</v>
      </c>
      <c r="O323" s="23">
        <f t="shared" si="43"/>
        <v>9827062.2</v>
      </c>
      <c r="P323" s="23">
        <f t="shared" si="43"/>
        <v>7602436.12</v>
      </c>
      <c r="Q323" s="23">
        <f t="shared" si="43"/>
        <v>17301163</v>
      </c>
      <c r="R323" s="23">
        <f t="shared" si="43"/>
        <v>3122616.99</v>
      </c>
      <c r="S323" s="23">
        <f t="shared" si="43"/>
        <v>3940873.47</v>
      </c>
      <c r="T323" s="23">
        <f t="shared" si="43"/>
        <v>1788710.6399999997</v>
      </c>
      <c r="U323" s="23">
        <f t="shared" si="43"/>
        <v>10427733.84</v>
      </c>
      <c r="V323" s="23">
        <f t="shared" si="43"/>
        <v>14777066.889999999</v>
      </c>
      <c r="W323" s="23">
        <f t="shared" si="43"/>
        <v>16274683</v>
      </c>
      <c r="X323" s="23">
        <f t="shared" si="43"/>
        <v>6241347.35</v>
      </c>
      <c r="Y323" s="118">
        <f t="shared" si="37"/>
        <v>0</v>
      </c>
      <c r="Z323" s="23">
        <f t="shared" si="43"/>
        <v>43212009.32</v>
      </c>
      <c r="AA323" s="118">
        <f t="shared" si="32"/>
        <v>987482.2699999958</v>
      </c>
      <c r="AB323" s="118"/>
      <c r="AC323" s="24"/>
      <c r="AD323" s="118">
        <f t="shared" si="33"/>
        <v>50497023.99</v>
      </c>
    </row>
    <row r="324" spans="1:30" ht="21" customHeight="1">
      <c r="A324" s="178" t="s">
        <v>82</v>
      </c>
      <c r="B324" s="185" t="s">
        <v>79</v>
      </c>
      <c r="C324" s="185" t="s">
        <v>76</v>
      </c>
      <c r="D324" s="189" t="s">
        <v>83</v>
      </c>
      <c r="E324" s="28"/>
      <c r="F324" s="99"/>
      <c r="G324" s="20"/>
      <c r="H324" s="20"/>
      <c r="I324" s="33"/>
      <c r="J324" s="58"/>
      <c r="K324" s="23">
        <f aca="true" t="shared" si="44" ref="K324:X324">K325+K331+K336+K341+K346+K351+K353+K355+K359+K357+K348+K361+K363</f>
        <v>93709033.31</v>
      </c>
      <c r="L324" s="23">
        <f t="shared" si="44"/>
        <v>949.4</v>
      </c>
      <c r="M324" s="23">
        <f t="shared" si="44"/>
        <v>0</v>
      </c>
      <c r="N324" s="23">
        <f t="shared" si="44"/>
        <v>2405339.81</v>
      </c>
      <c r="O324" s="23">
        <f t="shared" si="44"/>
        <v>9827062.2</v>
      </c>
      <c r="P324" s="23">
        <f t="shared" si="44"/>
        <v>7602436.12</v>
      </c>
      <c r="Q324" s="23">
        <f t="shared" si="44"/>
        <v>17301163</v>
      </c>
      <c r="R324" s="23">
        <f t="shared" si="44"/>
        <v>3122616.99</v>
      </c>
      <c r="S324" s="23">
        <f t="shared" si="44"/>
        <v>3940873.47</v>
      </c>
      <c r="T324" s="23">
        <f t="shared" si="44"/>
        <v>1788710.6399999997</v>
      </c>
      <c r="U324" s="23">
        <f t="shared" si="44"/>
        <v>10427733.84</v>
      </c>
      <c r="V324" s="23">
        <f t="shared" si="44"/>
        <v>14777066.889999999</v>
      </c>
      <c r="W324" s="23">
        <f t="shared" si="44"/>
        <v>16274683</v>
      </c>
      <c r="X324" s="23">
        <f t="shared" si="44"/>
        <v>6241347.35</v>
      </c>
      <c r="Y324" s="118">
        <f t="shared" si="37"/>
        <v>0</v>
      </c>
      <c r="Z324" s="23">
        <f>Z325+Z331+Z336+Z341+Z346+Z351+Z353+Z355+Z359+Z357+Z348+Z361+Z363</f>
        <v>43212009.32</v>
      </c>
      <c r="AA324" s="118">
        <f t="shared" si="32"/>
        <v>987482.2699999958</v>
      </c>
      <c r="AB324" s="118"/>
      <c r="AC324" s="24"/>
      <c r="AD324" s="118">
        <f t="shared" si="33"/>
        <v>50497023.99</v>
      </c>
    </row>
    <row r="325" spans="1:30" ht="30.75">
      <c r="A325" s="179"/>
      <c r="B325" s="185"/>
      <c r="C325" s="185"/>
      <c r="D325" s="190"/>
      <c r="E325" s="40" t="s">
        <v>87</v>
      </c>
      <c r="F325" s="98"/>
      <c r="G325" s="41"/>
      <c r="H325" s="39"/>
      <c r="I325" s="112"/>
      <c r="J325" s="58"/>
      <c r="K325" s="39">
        <f>SUM(K326:K330)-K327</f>
        <v>17584513.2</v>
      </c>
      <c r="L325" s="39">
        <f aca="true" t="shared" si="45" ref="L325:Z325">SUM(L326:L330)-L327</f>
        <v>47</v>
      </c>
      <c r="M325" s="39">
        <f t="shared" si="45"/>
        <v>0</v>
      </c>
      <c r="N325" s="39">
        <f t="shared" si="45"/>
        <v>1742338.7</v>
      </c>
      <c r="O325" s="39">
        <f t="shared" si="45"/>
        <v>585873.2</v>
      </c>
      <c r="P325" s="39">
        <f t="shared" si="45"/>
        <v>2480260</v>
      </c>
      <c r="Q325" s="39">
        <f t="shared" si="45"/>
        <v>0</v>
      </c>
      <c r="R325" s="39">
        <f t="shared" si="45"/>
        <v>0</v>
      </c>
      <c r="S325" s="39">
        <f t="shared" si="45"/>
        <v>1537800</v>
      </c>
      <c r="T325" s="39">
        <f t="shared" si="45"/>
        <v>350321.2999999998</v>
      </c>
      <c r="U325" s="39">
        <f t="shared" si="45"/>
        <v>0</v>
      </c>
      <c r="V325" s="39">
        <f t="shared" si="45"/>
        <v>4007920</v>
      </c>
      <c r="W325" s="39">
        <f t="shared" si="45"/>
        <v>5380000</v>
      </c>
      <c r="X325" s="39">
        <f t="shared" si="45"/>
        <v>1500000</v>
      </c>
      <c r="Y325" s="118">
        <f t="shared" si="37"/>
        <v>0</v>
      </c>
      <c r="Z325" s="39">
        <f t="shared" si="45"/>
        <v>6346271.2</v>
      </c>
      <c r="AA325" s="118">
        <f t="shared" si="32"/>
        <v>0.7000000001862645</v>
      </c>
      <c r="AB325" s="118"/>
      <c r="AC325" s="24"/>
      <c r="AD325" s="118">
        <f t="shared" si="33"/>
        <v>11238242</v>
      </c>
    </row>
    <row r="326" spans="1:30" ht="46.5">
      <c r="A326" s="179"/>
      <c r="B326" s="185"/>
      <c r="C326" s="185"/>
      <c r="D326" s="190"/>
      <c r="E326" s="26" t="s">
        <v>912</v>
      </c>
      <c r="F326" s="97">
        <v>2226</v>
      </c>
      <c r="G326" s="44"/>
      <c r="H326" s="24"/>
      <c r="I326" s="25"/>
      <c r="J326" s="58">
        <v>3210</v>
      </c>
      <c r="K326" s="24">
        <f>2500000+1657680+10941560</f>
        <v>15099240</v>
      </c>
      <c r="L326" s="39"/>
      <c r="M326" s="24"/>
      <c r="N326" s="24">
        <f>363909.76+294057.25+1014371.69</f>
        <v>1672338.7</v>
      </c>
      <c r="O326" s="24">
        <f>27405.22-27405.22</f>
        <v>0</v>
      </c>
      <c r="P326" s="24">
        <v>2480260</v>
      </c>
      <c r="Q326" s="24"/>
      <c r="R326" s="24"/>
      <c r="S326" s="24">
        <f>972307.77-972307.77+1188300+349500</f>
        <v>1537800</v>
      </c>
      <c r="T326" s="24">
        <f>2500000-14658.7-2480260</f>
        <v>5081.299999999814</v>
      </c>
      <c r="U326" s="24"/>
      <c r="V326" s="24">
        <f>5441560-1188300-349500</f>
        <v>3903760</v>
      </c>
      <c r="W326" s="24">
        <v>4000000</v>
      </c>
      <c r="X326" s="24">
        <v>1500000</v>
      </c>
      <c r="Y326" s="118">
        <f t="shared" si="37"/>
        <v>0</v>
      </c>
      <c r="Z326" s="24">
        <f>1672338.7+2480260+1188300+349500</f>
        <v>5690398.7</v>
      </c>
      <c r="AA326" s="118">
        <f t="shared" si="32"/>
        <v>0</v>
      </c>
      <c r="AB326" s="118"/>
      <c r="AC326" s="24"/>
      <c r="AD326" s="118">
        <f t="shared" si="33"/>
        <v>9408841.3</v>
      </c>
    </row>
    <row r="327" spans="1:30" ht="21">
      <c r="A327" s="179"/>
      <c r="B327" s="185"/>
      <c r="C327" s="185"/>
      <c r="D327" s="190"/>
      <c r="E327" s="26" t="s">
        <v>913</v>
      </c>
      <c r="F327" s="97"/>
      <c r="G327" s="44"/>
      <c r="H327" s="24"/>
      <c r="I327" s="25"/>
      <c r="J327" s="58"/>
      <c r="K327" s="24">
        <v>10941560</v>
      </c>
      <c r="L327" s="39"/>
      <c r="M327" s="24"/>
      <c r="N327" s="24"/>
      <c r="O327" s="24"/>
      <c r="P327" s="24"/>
      <c r="Q327" s="24"/>
      <c r="R327" s="24"/>
      <c r="S327" s="24">
        <f>1188300+349500</f>
        <v>1537800</v>
      </c>
      <c r="T327" s="24"/>
      <c r="U327" s="24"/>
      <c r="V327" s="24">
        <f>5441560-1188300-349500</f>
        <v>3903760</v>
      </c>
      <c r="W327" s="24">
        <f>4000000</f>
        <v>4000000</v>
      </c>
      <c r="X327" s="24">
        <f>1500000</f>
        <v>1500000</v>
      </c>
      <c r="Y327" s="118">
        <f t="shared" si="37"/>
        <v>0</v>
      </c>
      <c r="Z327" s="24">
        <f>1188300+349500</f>
        <v>1537800</v>
      </c>
      <c r="AA327" s="118">
        <f t="shared" si="32"/>
        <v>0</v>
      </c>
      <c r="AB327" s="118"/>
      <c r="AC327" s="24"/>
      <c r="AD327" s="118"/>
    </row>
    <row r="328" spans="1:30" ht="46.5">
      <c r="A328" s="179"/>
      <c r="B328" s="185"/>
      <c r="C328" s="185"/>
      <c r="D328" s="190"/>
      <c r="E328" s="26" t="s">
        <v>225</v>
      </c>
      <c r="F328" s="97">
        <v>2227</v>
      </c>
      <c r="G328" s="44" t="s">
        <v>195</v>
      </c>
      <c r="H328" s="24">
        <v>3066096</v>
      </c>
      <c r="I328" s="37">
        <v>0</v>
      </c>
      <c r="J328" s="58">
        <v>3210</v>
      </c>
      <c r="K328" s="24">
        <v>1450000</v>
      </c>
      <c r="L328" s="34">
        <v>47</v>
      </c>
      <c r="M328" s="24"/>
      <c r="N328" s="24">
        <v>70000</v>
      </c>
      <c r="O328" s="24"/>
      <c r="P328" s="24"/>
      <c r="Q328" s="24">
        <f>70000-70000</f>
        <v>0</v>
      </c>
      <c r="R328" s="24"/>
      <c r="S328" s="24"/>
      <c r="T328" s="24"/>
      <c r="U328" s="24"/>
      <c r="V328" s="24"/>
      <c r="W328" s="24">
        <v>1380000</v>
      </c>
      <c r="X328" s="24"/>
      <c r="Y328" s="118">
        <f t="shared" si="37"/>
        <v>0</v>
      </c>
      <c r="Z328" s="24">
        <f>70000</f>
        <v>70000</v>
      </c>
      <c r="AA328" s="118">
        <f t="shared" si="32"/>
        <v>0</v>
      </c>
      <c r="AB328" s="118"/>
      <c r="AC328" s="24"/>
      <c r="AD328" s="118">
        <f t="shared" si="33"/>
        <v>1380000</v>
      </c>
    </row>
    <row r="329" spans="1:30" ht="46.5">
      <c r="A329" s="179"/>
      <c r="B329" s="185"/>
      <c r="C329" s="185"/>
      <c r="D329" s="190"/>
      <c r="E329" s="26" t="s">
        <v>819</v>
      </c>
      <c r="F329" s="97">
        <v>2593</v>
      </c>
      <c r="G329" s="44"/>
      <c r="H329" s="24"/>
      <c r="I329" s="37"/>
      <c r="J329" s="58">
        <v>3210</v>
      </c>
      <c r="K329" s="24">
        <v>622647.2</v>
      </c>
      <c r="L329" s="34"/>
      <c r="M329" s="24"/>
      <c r="N329" s="24"/>
      <c r="O329" s="24">
        <f>622647.2-36774</f>
        <v>585873.2</v>
      </c>
      <c r="P329" s="24"/>
      <c r="Q329" s="24"/>
      <c r="R329" s="24"/>
      <c r="S329" s="24"/>
      <c r="T329" s="24">
        <f>36774</f>
        <v>36774</v>
      </c>
      <c r="U329" s="24"/>
      <c r="V329" s="24"/>
      <c r="W329" s="24"/>
      <c r="X329" s="24"/>
      <c r="Y329" s="118">
        <f t="shared" si="37"/>
        <v>0</v>
      </c>
      <c r="Z329" s="24">
        <f>577158.5+8714</f>
        <v>585872.5</v>
      </c>
      <c r="AA329" s="118">
        <f t="shared" si="32"/>
        <v>0.6999999999534339</v>
      </c>
      <c r="AB329" s="118"/>
      <c r="AC329" s="24"/>
      <c r="AD329" s="118">
        <f t="shared" si="33"/>
        <v>36774.69999999995</v>
      </c>
    </row>
    <row r="330" spans="1:30" ht="46.5">
      <c r="A330" s="179"/>
      <c r="B330" s="185"/>
      <c r="C330" s="185"/>
      <c r="D330" s="190"/>
      <c r="E330" s="26" t="s">
        <v>820</v>
      </c>
      <c r="F330" s="97">
        <v>2594</v>
      </c>
      <c r="G330" s="44"/>
      <c r="H330" s="24"/>
      <c r="I330" s="37"/>
      <c r="J330" s="58">
        <v>3210</v>
      </c>
      <c r="K330" s="24">
        <v>412626</v>
      </c>
      <c r="L330" s="34"/>
      <c r="M330" s="24"/>
      <c r="N330" s="24"/>
      <c r="O330" s="24">
        <f>412626-412626</f>
        <v>0</v>
      </c>
      <c r="P330" s="24"/>
      <c r="Q330" s="24"/>
      <c r="R330" s="24"/>
      <c r="S330" s="24">
        <f>104160-104160</f>
        <v>0</v>
      </c>
      <c r="T330" s="24">
        <f>308466</f>
        <v>308466</v>
      </c>
      <c r="U330" s="24"/>
      <c r="V330" s="24">
        <f>104160</f>
        <v>104160</v>
      </c>
      <c r="W330" s="24"/>
      <c r="X330" s="24"/>
      <c r="Y330" s="118">
        <f t="shared" si="37"/>
        <v>0</v>
      </c>
      <c r="Z330" s="24"/>
      <c r="AA330" s="118">
        <f t="shared" si="32"/>
        <v>0</v>
      </c>
      <c r="AB330" s="118"/>
      <c r="AC330" s="24"/>
      <c r="AD330" s="118">
        <f t="shared" si="33"/>
        <v>412626</v>
      </c>
    </row>
    <row r="331" spans="1:30" ht="30.75">
      <c r="A331" s="179"/>
      <c r="B331" s="185"/>
      <c r="C331" s="185"/>
      <c r="D331" s="190"/>
      <c r="E331" s="40" t="s">
        <v>235</v>
      </c>
      <c r="F331" s="98"/>
      <c r="G331" s="44"/>
      <c r="H331" s="24"/>
      <c r="I331" s="34"/>
      <c r="J331" s="58"/>
      <c r="K331" s="39">
        <f>K334+K335+K332+K333</f>
        <v>1849240</v>
      </c>
      <c r="L331" s="39">
        <f aca="true" t="shared" si="46" ref="L331:Z331">L334+L335+L332+L333</f>
        <v>200</v>
      </c>
      <c r="M331" s="39">
        <f t="shared" si="46"/>
        <v>0</v>
      </c>
      <c r="N331" s="39">
        <f t="shared" si="46"/>
        <v>111578</v>
      </c>
      <c r="O331" s="39">
        <f t="shared" si="46"/>
        <v>36789</v>
      </c>
      <c r="P331" s="39">
        <f t="shared" si="46"/>
        <v>83789</v>
      </c>
      <c r="Q331" s="39">
        <f t="shared" si="46"/>
        <v>82489</v>
      </c>
      <c r="R331" s="39">
        <f t="shared" si="46"/>
        <v>53755</v>
      </c>
      <c r="S331" s="39">
        <f t="shared" si="46"/>
        <v>430840</v>
      </c>
      <c r="T331" s="39">
        <f t="shared" si="46"/>
        <v>0</v>
      </c>
      <c r="U331" s="39">
        <f t="shared" si="46"/>
        <v>500000</v>
      </c>
      <c r="V331" s="39">
        <f t="shared" si="46"/>
        <v>0</v>
      </c>
      <c r="W331" s="39">
        <f t="shared" si="46"/>
        <v>550000</v>
      </c>
      <c r="X331" s="39">
        <f t="shared" si="46"/>
        <v>0</v>
      </c>
      <c r="Y331" s="118">
        <f t="shared" si="37"/>
        <v>0</v>
      </c>
      <c r="Z331" s="39">
        <f t="shared" si="46"/>
        <v>713653.02</v>
      </c>
      <c r="AA331" s="118">
        <f t="shared" si="32"/>
        <v>85586.97999999998</v>
      </c>
      <c r="AB331" s="118"/>
      <c r="AC331" s="24"/>
      <c r="AD331" s="118">
        <f t="shared" si="33"/>
        <v>1135586.98</v>
      </c>
    </row>
    <row r="332" spans="1:30" ht="30.75">
      <c r="A332" s="179"/>
      <c r="B332" s="185"/>
      <c r="C332" s="185"/>
      <c r="D332" s="190"/>
      <c r="E332" s="26" t="s">
        <v>821</v>
      </c>
      <c r="F332" s="97">
        <v>2595</v>
      </c>
      <c r="G332" s="44"/>
      <c r="H332" s="24"/>
      <c r="I332" s="34"/>
      <c r="J332" s="58">
        <v>3210</v>
      </c>
      <c r="K332" s="24">
        <v>124700</v>
      </c>
      <c r="L332" s="24"/>
      <c r="M332" s="24"/>
      <c r="N332" s="24"/>
      <c r="O332" s="24">
        <f>92840</f>
        <v>92840</v>
      </c>
      <c r="P332" s="24">
        <f>7616-7616+31860</f>
        <v>31860</v>
      </c>
      <c r="Q332" s="24">
        <f>82489-82489</f>
        <v>0</v>
      </c>
      <c r="R332" s="24">
        <f>34595-2735-31860</f>
        <v>0</v>
      </c>
      <c r="S332" s="24"/>
      <c r="T332" s="24"/>
      <c r="U332" s="24"/>
      <c r="V332" s="24"/>
      <c r="W332" s="24"/>
      <c r="X332" s="24"/>
      <c r="Y332" s="118">
        <f t="shared" si="37"/>
        <v>0</v>
      </c>
      <c r="Z332" s="24">
        <f>92840+31760</f>
        <v>124600</v>
      </c>
      <c r="AA332" s="118">
        <f t="shared" si="32"/>
        <v>100</v>
      </c>
      <c r="AB332" s="118"/>
      <c r="AC332" s="24"/>
      <c r="AD332" s="118">
        <f t="shared" si="33"/>
        <v>100</v>
      </c>
    </row>
    <row r="333" spans="1:30" ht="46.5">
      <c r="A333" s="179"/>
      <c r="B333" s="185"/>
      <c r="C333" s="185"/>
      <c r="D333" s="190"/>
      <c r="E333" s="26" t="s">
        <v>822</v>
      </c>
      <c r="F333" s="97">
        <v>2596</v>
      </c>
      <c r="G333" s="44"/>
      <c r="H333" s="24"/>
      <c r="I333" s="34"/>
      <c r="J333" s="58">
        <v>3210</v>
      </c>
      <c r="K333" s="24">
        <v>186540</v>
      </c>
      <c r="L333" s="24"/>
      <c r="M333" s="24"/>
      <c r="N333" s="24">
        <f>73578</f>
        <v>73578</v>
      </c>
      <c r="O333" s="24">
        <f>36789-92840</f>
        <v>-56051</v>
      </c>
      <c r="P333" s="24">
        <f>76173+7616-31860</f>
        <v>51929</v>
      </c>
      <c r="Q333" s="24">
        <f>82489</f>
        <v>82489</v>
      </c>
      <c r="R333" s="24">
        <f>2735+31860-80000</f>
        <v>-45405</v>
      </c>
      <c r="S333" s="24">
        <v>80000</v>
      </c>
      <c r="T333" s="24"/>
      <c r="U333" s="24"/>
      <c r="V333" s="24"/>
      <c r="W333" s="24"/>
      <c r="X333" s="24"/>
      <c r="Y333" s="118">
        <f t="shared" si="37"/>
        <v>0</v>
      </c>
      <c r="Z333" s="24">
        <v>101894.42</v>
      </c>
      <c r="AA333" s="118">
        <f t="shared" si="32"/>
        <v>84645.58</v>
      </c>
      <c r="AB333" s="118"/>
      <c r="AC333" s="24"/>
      <c r="AD333" s="118">
        <f t="shared" si="33"/>
        <v>84645.58</v>
      </c>
    </row>
    <row r="334" spans="1:30" ht="30.75">
      <c r="A334" s="179"/>
      <c r="B334" s="185"/>
      <c r="C334" s="185"/>
      <c r="D334" s="190"/>
      <c r="E334" s="19" t="s">
        <v>226</v>
      </c>
      <c r="F334" s="96">
        <v>2228</v>
      </c>
      <c r="G334" s="44" t="s">
        <v>201</v>
      </c>
      <c r="H334" s="24">
        <v>1499836</v>
      </c>
      <c r="I334" s="34">
        <v>97.3</v>
      </c>
      <c r="J334" s="58">
        <v>3210</v>
      </c>
      <c r="K334" s="24">
        <v>38000</v>
      </c>
      <c r="L334" s="34">
        <v>100</v>
      </c>
      <c r="M334" s="24"/>
      <c r="N334" s="24">
        <v>38000</v>
      </c>
      <c r="O334" s="24">
        <f>38000-38000</f>
        <v>0</v>
      </c>
      <c r="P334" s="24"/>
      <c r="Q334" s="24"/>
      <c r="R334" s="24"/>
      <c r="S334" s="24"/>
      <c r="T334" s="24"/>
      <c r="U334" s="24"/>
      <c r="V334" s="24"/>
      <c r="W334" s="24"/>
      <c r="X334" s="24"/>
      <c r="Y334" s="118">
        <f t="shared" si="37"/>
        <v>0</v>
      </c>
      <c r="Z334" s="24">
        <f>38000</f>
        <v>38000</v>
      </c>
      <c r="AA334" s="118">
        <f t="shared" si="32"/>
        <v>0</v>
      </c>
      <c r="AB334" s="118"/>
      <c r="AC334" s="24"/>
      <c r="AD334" s="118">
        <f t="shared" si="33"/>
        <v>0</v>
      </c>
    </row>
    <row r="335" spans="1:30" ht="49.5" customHeight="1">
      <c r="A335" s="179"/>
      <c r="B335" s="185"/>
      <c r="C335" s="185"/>
      <c r="D335" s="190"/>
      <c r="E335" s="19" t="s">
        <v>667</v>
      </c>
      <c r="F335" s="96">
        <v>2229</v>
      </c>
      <c r="G335" s="44">
        <v>2020</v>
      </c>
      <c r="H335" s="24">
        <v>1500000</v>
      </c>
      <c r="I335" s="34">
        <v>0</v>
      </c>
      <c r="J335" s="58">
        <v>3210</v>
      </c>
      <c r="K335" s="24">
        <v>1500000</v>
      </c>
      <c r="L335" s="34">
        <v>100</v>
      </c>
      <c r="M335" s="24"/>
      <c r="N335" s="24"/>
      <c r="O335" s="24"/>
      <c r="P335" s="24"/>
      <c r="Q335" s="24"/>
      <c r="R335" s="24">
        <f>99160</f>
        <v>99160</v>
      </c>
      <c r="S335" s="24">
        <f>450000-99160</f>
        <v>350840</v>
      </c>
      <c r="T335" s="24"/>
      <c r="U335" s="24">
        <v>500000</v>
      </c>
      <c r="V335" s="24"/>
      <c r="W335" s="24">
        <v>550000</v>
      </c>
      <c r="X335" s="24"/>
      <c r="Y335" s="118">
        <f t="shared" si="37"/>
        <v>0</v>
      </c>
      <c r="Z335" s="24">
        <f>99158.6+350000</f>
        <v>449158.6</v>
      </c>
      <c r="AA335" s="118">
        <f t="shared" si="32"/>
        <v>841.4000000000233</v>
      </c>
      <c r="AB335" s="118"/>
      <c r="AC335" s="24"/>
      <c r="AD335" s="118">
        <f t="shared" si="33"/>
        <v>1050841.4</v>
      </c>
    </row>
    <row r="336" spans="1:30" ht="30.75">
      <c r="A336" s="179"/>
      <c r="B336" s="185"/>
      <c r="C336" s="185"/>
      <c r="D336" s="190"/>
      <c r="E336" s="40" t="s">
        <v>88</v>
      </c>
      <c r="F336" s="98"/>
      <c r="G336" s="41"/>
      <c r="H336" s="39"/>
      <c r="I336" s="39"/>
      <c r="J336" s="58"/>
      <c r="K336" s="39">
        <f>SUM(K337:K340)-K338</f>
        <v>47177140</v>
      </c>
      <c r="L336" s="39">
        <f aca="true" t="shared" si="47" ref="L336:Z336">SUM(L337:L340)-L338</f>
        <v>65</v>
      </c>
      <c r="M336" s="39">
        <f t="shared" si="47"/>
        <v>0</v>
      </c>
      <c r="N336" s="39">
        <f t="shared" si="47"/>
        <v>0</v>
      </c>
      <c r="O336" s="39">
        <f t="shared" si="47"/>
        <v>3700000</v>
      </c>
      <c r="P336" s="39">
        <f t="shared" si="47"/>
        <v>4445000</v>
      </c>
      <c r="Q336" s="39">
        <f t="shared" si="47"/>
        <v>17068674</v>
      </c>
      <c r="R336" s="39">
        <f t="shared" si="47"/>
        <v>1125960.5</v>
      </c>
      <c r="S336" s="39">
        <f t="shared" si="47"/>
        <v>0.8699999999953434</v>
      </c>
      <c r="T336" s="39">
        <f t="shared" si="47"/>
        <v>546932.3899999999</v>
      </c>
      <c r="U336" s="39">
        <f t="shared" si="47"/>
        <v>5760594.52</v>
      </c>
      <c r="V336" s="39">
        <f t="shared" si="47"/>
        <v>2920354.929999998</v>
      </c>
      <c r="W336" s="39">
        <f t="shared" si="47"/>
        <v>8421732.59</v>
      </c>
      <c r="X336" s="39">
        <f t="shared" si="47"/>
        <v>3187890.2</v>
      </c>
      <c r="Y336" s="118">
        <f t="shared" si="37"/>
        <v>0</v>
      </c>
      <c r="Z336" s="39">
        <f t="shared" si="47"/>
        <v>26339558.17</v>
      </c>
      <c r="AA336" s="118">
        <f t="shared" si="32"/>
        <v>77.19999999925494</v>
      </c>
      <c r="AB336" s="118"/>
      <c r="AC336" s="24"/>
      <c r="AD336" s="118">
        <f t="shared" si="33"/>
        <v>20837581.83</v>
      </c>
    </row>
    <row r="337" spans="1:30" ht="93">
      <c r="A337" s="179"/>
      <c r="B337" s="185"/>
      <c r="C337" s="185"/>
      <c r="D337" s="190"/>
      <c r="E337" s="26" t="s">
        <v>914</v>
      </c>
      <c r="F337" s="97">
        <v>2230</v>
      </c>
      <c r="G337" s="44"/>
      <c r="H337" s="39"/>
      <c r="I337" s="39"/>
      <c r="J337" s="58">
        <v>3210</v>
      </c>
      <c r="K337" s="24">
        <f>4500000+500000+2800000+1000000+34677140</f>
        <v>43477140</v>
      </c>
      <c r="L337" s="43"/>
      <c r="M337" s="24"/>
      <c r="N337" s="24"/>
      <c r="O337" s="24"/>
      <c r="P337" s="24">
        <f>2722144.36+1722855.64</f>
        <v>4445000</v>
      </c>
      <c r="Q337" s="24">
        <f>2408842.67-1722855.64+15488686.97+894000</f>
        <v>17068674</v>
      </c>
      <c r="R337" s="24">
        <f>21359.69+1104600.81</f>
        <v>1125960.5</v>
      </c>
      <c r="S337" s="24">
        <f>632690.87-632690</f>
        <v>0.8699999999953434</v>
      </c>
      <c r="T337" s="24">
        <f>967337.96+945505.24-261310-1104600.81</f>
        <v>546932.3899999999</v>
      </c>
      <c r="U337" s="24">
        <f>5760594.52</f>
        <v>5760594.52</v>
      </c>
      <c r="V337" s="24">
        <f>2047624.45+16361417.45-15488686.97</f>
        <v>2920354.929999998</v>
      </c>
      <c r="W337" s="24">
        <f>8421732.59</f>
        <v>8421732.59</v>
      </c>
      <c r="X337" s="24">
        <f>3187890.2</f>
        <v>3187890.2</v>
      </c>
      <c r="Y337" s="118">
        <f t="shared" si="37"/>
        <v>0</v>
      </c>
      <c r="Z337" s="24">
        <f>4445000+16174674+894000+1125960.5</f>
        <v>22639634.5</v>
      </c>
      <c r="AA337" s="118">
        <f t="shared" si="32"/>
        <v>0.8700000010430813</v>
      </c>
      <c r="AB337" s="118"/>
      <c r="AC337" s="24">
        <v>-1296513</v>
      </c>
      <c r="AD337" s="118">
        <f t="shared" si="33"/>
        <v>19540992.5</v>
      </c>
    </row>
    <row r="338" spans="1:30" ht="21">
      <c r="A338" s="179"/>
      <c r="B338" s="185"/>
      <c r="C338" s="185"/>
      <c r="D338" s="190"/>
      <c r="E338" s="26" t="s">
        <v>913</v>
      </c>
      <c r="F338" s="97"/>
      <c r="G338" s="44"/>
      <c r="H338" s="39"/>
      <c r="I338" s="39"/>
      <c r="J338" s="58"/>
      <c r="K338" s="24">
        <v>34677140</v>
      </c>
      <c r="L338" s="43"/>
      <c r="M338" s="24"/>
      <c r="N338" s="24"/>
      <c r="O338" s="24"/>
      <c r="P338" s="24"/>
      <c r="Q338" s="24">
        <f>685987.03+15488686.97+894000</f>
        <v>17068674</v>
      </c>
      <c r="R338" s="24"/>
      <c r="S338" s="24"/>
      <c r="T338" s="24">
        <f>-685987.03+945505.24</f>
        <v>259518.20999999996</v>
      </c>
      <c r="U338" s="24">
        <v>5760594.52</v>
      </c>
      <c r="V338" s="24">
        <f>16361417.45-15488686.97</f>
        <v>872730.4799999986</v>
      </c>
      <c r="W338" s="24">
        <v>8421732.59</v>
      </c>
      <c r="X338" s="24">
        <f>3187890.2-894000</f>
        <v>2293890.2</v>
      </c>
      <c r="Y338" s="118">
        <f t="shared" si="37"/>
        <v>0</v>
      </c>
      <c r="Z338" s="24">
        <f>16174674+894000</f>
        <v>17068674</v>
      </c>
      <c r="AA338" s="118">
        <f t="shared" si="32"/>
        <v>0</v>
      </c>
      <c r="AB338" s="118"/>
      <c r="AC338" s="24"/>
      <c r="AD338" s="118"/>
    </row>
    <row r="339" spans="1:30" ht="30.75">
      <c r="A339" s="179"/>
      <c r="B339" s="185"/>
      <c r="C339" s="185"/>
      <c r="D339" s="190"/>
      <c r="E339" s="26" t="s">
        <v>237</v>
      </c>
      <c r="F339" s="97">
        <v>2231</v>
      </c>
      <c r="G339" s="44"/>
      <c r="H339" s="39"/>
      <c r="I339" s="39"/>
      <c r="J339" s="58">
        <v>3210</v>
      </c>
      <c r="K339" s="24">
        <v>2200000</v>
      </c>
      <c r="L339" s="43"/>
      <c r="M339" s="24"/>
      <c r="N339" s="24"/>
      <c r="O339" s="24">
        <v>2200000</v>
      </c>
      <c r="P339" s="24"/>
      <c r="Q339" s="24"/>
      <c r="R339" s="24"/>
      <c r="S339" s="24">
        <f>2200000-2200000</f>
        <v>0</v>
      </c>
      <c r="T339" s="24"/>
      <c r="U339" s="24"/>
      <c r="V339" s="24"/>
      <c r="W339" s="24"/>
      <c r="X339" s="24"/>
      <c r="Y339" s="118">
        <f t="shared" si="37"/>
        <v>0</v>
      </c>
      <c r="Z339" s="24">
        <v>2200000</v>
      </c>
      <c r="AA339" s="118">
        <f aca="true" t="shared" si="48" ref="AA339:AA402">M339+N339+O339+P339+Q339+R339+S339-Z339</f>
        <v>0</v>
      </c>
      <c r="AB339" s="118"/>
      <c r="AC339" s="24"/>
      <c r="AD339" s="118">
        <f t="shared" si="33"/>
        <v>0</v>
      </c>
    </row>
    <row r="340" spans="1:30" ht="30.75">
      <c r="A340" s="179"/>
      <c r="B340" s="185"/>
      <c r="C340" s="185"/>
      <c r="D340" s="190"/>
      <c r="E340" s="26" t="s">
        <v>238</v>
      </c>
      <c r="F340" s="97">
        <v>2232</v>
      </c>
      <c r="G340" s="44">
        <v>2020</v>
      </c>
      <c r="H340" s="24">
        <v>2313990</v>
      </c>
      <c r="I340" s="34">
        <v>0</v>
      </c>
      <c r="J340" s="58">
        <v>3210</v>
      </c>
      <c r="K340" s="24">
        <f>2438000-938000</f>
        <v>1500000</v>
      </c>
      <c r="L340" s="34">
        <v>65</v>
      </c>
      <c r="M340" s="24"/>
      <c r="N340" s="24"/>
      <c r="O340" s="24">
        <f>1500000</f>
        <v>1500000</v>
      </c>
      <c r="P340" s="24"/>
      <c r="Q340" s="24"/>
      <c r="R340" s="24"/>
      <c r="S340" s="24"/>
      <c r="T340" s="24"/>
      <c r="U340" s="24">
        <f>450000-450000</f>
        <v>0</v>
      </c>
      <c r="V340" s="24"/>
      <c r="W340" s="24">
        <f>1050000-1050000</f>
        <v>0</v>
      </c>
      <c r="X340" s="24"/>
      <c r="Y340" s="118">
        <f t="shared" si="37"/>
        <v>0</v>
      </c>
      <c r="Z340" s="24">
        <v>1499923.67</v>
      </c>
      <c r="AA340" s="118">
        <f t="shared" si="48"/>
        <v>76.3300000000745</v>
      </c>
      <c r="AB340" s="118"/>
      <c r="AC340" s="24"/>
      <c r="AD340" s="118">
        <f t="shared" si="33"/>
        <v>76.3300000000745</v>
      </c>
    </row>
    <row r="341" spans="1:30" ht="30.75">
      <c r="A341" s="179"/>
      <c r="B341" s="185"/>
      <c r="C341" s="185"/>
      <c r="D341" s="190"/>
      <c r="E341" s="40" t="s">
        <v>236</v>
      </c>
      <c r="F341" s="98"/>
      <c r="G341" s="44"/>
      <c r="H341" s="24"/>
      <c r="I341" s="34"/>
      <c r="J341" s="58"/>
      <c r="K341" s="39">
        <f>SUM(K342:K345)</f>
        <v>7752423.11</v>
      </c>
      <c r="L341" s="39">
        <f aca="true" t="shared" si="49" ref="L341:Z341">SUM(L342:L345)</f>
        <v>200</v>
      </c>
      <c r="M341" s="39">
        <f t="shared" si="49"/>
        <v>0</v>
      </c>
      <c r="N341" s="39">
        <f t="shared" si="49"/>
        <v>551423.11</v>
      </c>
      <c r="O341" s="39">
        <f t="shared" si="49"/>
        <v>4705000</v>
      </c>
      <c r="P341" s="39">
        <f t="shared" si="49"/>
        <v>91000</v>
      </c>
      <c r="Q341" s="39">
        <f t="shared" si="49"/>
        <v>0</v>
      </c>
      <c r="R341" s="39">
        <f t="shared" si="49"/>
        <v>1219637.74</v>
      </c>
      <c r="S341" s="39">
        <f t="shared" si="49"/>
        <v>0</v>
      </c>
      <c r="T341" s="39">
        <f t="shared" si="49"/>
        <v>408702.45</v>
      </c>
      <c r="U341" s="39">
        <f t="shared" si="49"/>
        <v>236659.81</v>
      </c>
      <c r="V341" s="39">
        <f t="shared" si="49"/>
        <v>0</v>
      </c>
      <c r="W341" s="39">
        <f t="shared" si="49"/>
        <v>540000</v>
      </c>
      <c r="X341" s="39">
        <f t="shared" si="49"/>
        <v>0</v>
      </c>
      <c r="Y341" s="118">
        <f t="shared" si="37"/>
        <v>0</v>
      </c>
      <c r="Z341" s="39">
        <f t="shared" si="49"/>
        <v>6531296.26</v>
      </c>
      <c r="AA341" s="118">
        <f t="shared" si="48"/>
        <v>35764.59000000078</v>
      </c>
      <c r="AB341" s="118"/>
      <c r="AC341" s="24"/>
      <c r="AD341" s="118">
        <f t="shared" si="33"/>
        <v>1221126.8500000006</v>
      </c>
    </row>
    <row r="342" spans="1:30" ht="46.5">
      <c r="A342" s="179"/>
      <c r="B342" s="185"/>
      <c r="C342" s="185"/>
      <c r="D342" s="190"/>
      <c r="E342" s="26" t="s">
        <v>888</v>
      </c>
      <c r="F342" s="97">
        <v>2613</v>
      </c>
      <c r="G342" s="44"/>
      <c r="H342" s="24"/>
      <c r="I342" s="34"/>
      <c r="J342" s="58">
        <v>3210</v>
      </c>
      <c r="K342" s="24">
        <f>4705000+915000</f>
        <v>5620000</v>
      </c>
      <c r="L342" s="24"/>
      <c r="M342" s="24"/>
      <c r="N342" s="24"/>
      <c r="O342" s="24">
        <f>4705000</f>
        <v>4705000</v>
      </c>
      <c r="P342" s="24">
        <f>1033690-1033690</f>
        <v>0</v>
      </c>
      <c r="Q342" s="24">
        <f>1108690-1108690</f>
        <v>0</v>
      </c>
      <c r="R342" s="24">
        <f>1108690-1108690+506297.55</f>
        <v>506297.55</v>
      </c>
      <c r="S342" s="24">
        <f>1108690-1108690</f>
        <v>0</v>
      </c>
      <c r="T342" s="24">
        <f>345240-345240+915000-506297.55</f>
        <v>408702.45</v>
      </c>
      <c r="U342" s="24"/>
      <c r="V342" s="24"/>
      <c r="W342" s="24"/>
      <c r="X342" s="24"/>
      <c r="Y342" s="118">
        <f t="shared" si="37"/>
        <v>0</v>
      </c>
      <c r="Z342" s="24">
        <f>4700370-32479.08+510927.55</f>
        <v>5178818.47</v>
      </c>
      <c r="AA342" s="118">
        <f t="shared" si="48"/>
        <v>32479.080000000075</v>
      </c>
      <c r="AB342" s="118"/>
      <c r="AC342" s="24"/>
      <c r="AD342" s="118">
        <f aca="true" t="shared" si="50" ref="AD342:AD413">K342-Z342+AC342-AB342</f>
        <v>441181.53000000026</v>
      </c>
    </row>
    <row r="343" spans="1:30" ht="78">
      <c r="A343" s="179"/>
      <c r="B343" s="185"/>
      <c r="C343" s="185"/>
      <c r="D343" s="190"/>
      <c r="E343" s="26" t="s">
        <v>901</v>
      </c>
      <c r="F343" s="97">
        <v>2625</v>
      </c>
      <c r="G343" s="44"/>
      <c r="H343" s="24"/>
      <c r="I343" s="34"/>
      <c r="J343" s="58">
        <v>3210</v>
      </c>
      <c r="K343" s="24">
        <v>91000</v>
      </c>
      <c r="L343" s="24"/>
      <c r="M343" s="24"/>
      <c r="N343" s="24"/>
      <c r="O343" s="24"/>
      <c r="P343" s="24">
        <v>91000</v>
      </c>
      <c r="Q343" s="24"/>
      <c r="R343" s="24"/>
      <c r="S343" s="24"/>
      <c r="T343" s="24"/>
      <c r="U343" s="24"/>
      <c r="V343" s="24"/>
      <c r="W343" s="24"/>
      <c r="X343" s="24"/>
      <c r="Y343" s="118">
        <f t="shared" si="37"/>
        <v>0</v>
      </c>
      <c r="Z343" s="24">
        <f>91000-3285.51</f>
        <v>87714.49</v>
      </c>
      <c r="AA343" s="118">
        <f t="shared" si="48"/>
        <v>3285.5099999999948</v>
      </c>
      <c r="AB343" s="118"/>
      <c r="AC343" s="24"/>
      <c r="AD343" s="118">
        <f t="shared" si="50"/>
        <v>3285.5099999999948</v>
      </c>
    </row>
    <row r="344" spans="1:30" ht="30.75">
      <c r="A344" s="179"/>
      <c r="B344" s="185"/>
      <c r="C344" s="185"/>
      <c r="D344" s="190"/>
      <c r="E344" s="26" t="s">
        <v>227</v>
      </c>
      <c r="F344" s="97">
        <v>2233</v>
      </c>
      <c r="G344" s="44" t="s">
        <v>201</v>
      </c>
      <c r="H344" s="24">
        <v>1498861</v>
      </c>
      <c r="I344" s="34">
        <v>65.3</v>
      </c>
      <c r="J344" s="58">
        <v>3210</v>
      </c>
      <c r="K344" s="24">
        <v>551423.11</v>
      </c>
      <c r="L344" s="34">
        <v>100</v>
      </c>
      <c r="M344" s="24"/>
      <c r="N344" s="24">
        <f>105423.11+446000</f>
        <v>551423.11</v>
      </c>
      <c r="O344" s="24"/>
      <c r="P344" s="24"/>
      <c r="Q344" s="24"/>
      <c r="R344" s="24"/>
      <c r="S344" s="24"/>
      <c r="T344" s="24"/>
      <c r="U344" s="24"/>
      <c r="V344" s="24"/>
      <c r="W344" s="24"/>
      <c r="X344" s="24">
        <f>446000-446000</f>
        <v>0</v>
      </c>
      <c r="Y344" s="118">
        <f t="shared" si="37"/>
        <v>0</v>
      </c>
      <c r="Z344" s="24">
        <v>551423.11</v>
      </c>
      <c r="AA344" s="118">
        <f t="shared" si="48"/>
        <v>0</v>
      </c>
      <c r="AB344" s="118"/>
      <c r="AC344" s="24"/>
      <c r="AD344" s="118">
        <f t="shared" si="50"/>
        <v>0</v>
      </c>
    </row>
    <row r="345" spans="1:30" ht="30.75">
      <c r="A345" s="179"/>
      <c r="B345" s="185"/>
      <c r="C345" s="185"/>
      <c r="D345" s="190"/>
      <c r="E345" s="26" t="s">
        <v>228</v>
      </c>
      <c r="F345" s="97">
        <v>2234</v>
      </c>
      <c r="G345" s="44">
        <v>2020</v>
      </c>
      <c r="H345" s="24">
        <v>1490000</v>
      </c>
      <c r="I345" s="34">
        <v>0</v>
      </c>
      <c r="J345" s="58">
        <v>3210</v>
      </c>
      <c r="K345" s="24">
        <v>1490000</v>
      </c>
      <c r="L345" s="34">
        <v>100</v>
      </c>
      <c r="M345" s="24"/>
      <c r="N345" s="24"/>
      <c r="O345" s="24"/>
      <c r="P345" s="24"/>
      <c r="Q345" s="24"/>
      <c r="R345" s="24">
        <f>85044+628296.19</f>
        <v>713340.19</v>
      </c>
      <c r="S345" s="24">
        <f>450000-85044-364956</f>
        <v>0</v>
      </c>
      <c r="T345" s="24"/>
      <c r="U345" s="24">
        <f>500000-263340.19</f>
        <v>236659.81</v>
      </c>
      <c r="V345" s="24"/>
      <c r="W345" s="24">
        <v>540000</v>
      </c>
      <c r="X345" s="24"/>
      <c r="Y345" s="118">
        <f t="shared" si="37"/>
        <v>0</v>
      </c>
      <c r="Z345" s="24">
        <f>85044+628296.19</f>
        <v>713340.19</v>
      </c>
      <c r="AA345" s="118">
        <f t="shared" si="48"/>
        <v>0</v>
      </c>
      <c r="AB345" s="118"/>
      <c r="AC345" s="24"/>
      <c r="AD345" s="118">
        <f t="shared" si="50"/>
        <v>776659.81</v>
      </c>
    </row>
    <row r="346" spans="1:30" ht="30.75">
      <c r="A346" s="179"/>
      <c r="B346" s="185"/>
      <c r="C346" s="185"/>
      <c r="D346" s="190"/>
      <c r="E346" s="45" t="s">
        <v>86</v>
      </c>
      <c r="F346" s="126"/>
      <c r="G346" s="41"/>
      <c r="H346" s="39"/>
      <c r="I346" s="112"/>
      <c r="J346" s="58"/>
      <c r="K346" s="39">
        <f>SUM(K347:K347)</f>
        <v>3500000</v>
      </c>
      <c r="L346" s="39">
        <f aca="true" t="shared" si="51" ref="L346:Z346">SUM(L347:L347)</f>
        <v>100</v>
      </c>
      <c r="M346" s="39">
        <f t="shared" si="51"/>
        <v>0</v>
      </c>
      <c r="N346" s="39">
        <f t="shared" si="51"/>
        <v>0</v>
      </c>
      <c r="O346" s="39">
        <f t="shared" si="51"/>
        <v>741400</v>
      </c>
      <c r="P346" s="39">
        <f t="shared" si="51"/>
        <v>0</v>
      </c>
      <c r="Q346" s="39">
        <f t="shared" si="51"/>
        <v>0</v>
      </c>
      <c r="R346" s="39">
        <f t="shared" si="51"/>
        <v>319652.9</v>
      </c>
      <c r="S346" s="39">
        <f t="shared" si="51"/>
        <v>506192.6</v>
      </c>
      <c r="T346" s="39">
        <f t="shared" si="51"/>
        <v>482754.5</v>
      </c>
      <c r="U346" s="39">
        <f t="shared" si="51"/>
        <v>0</v>
      </c>
      <c r="V346" s="39">
        <f t="shared" si="51"/>
        <v>1450000</v>
      </c>
      <c r="W346" s="39">
        <f t="shared" si="51"/>
        <v>0</v>
      </c>
      <c r="X346" s="39">
        <f t="shared" si="51"/>
        <v>0</v>
      </c>
      <c r="Y346" s="118">
        <f t="shared" si="37"/>
        <v>0</v>
      </c>
      <c r="Z346" s="39">
        <f t="shared" si="51"/>
        <v>1567245.5</v>
      </c>
      <c r="AA346" s="118">
        <f t="shared" si="48"/>
        <v>0</v>
      </c>
      <c r="AB346" s="118"/>
      <c r="AC346" s="24"/>
      <c r="AD346" s="118">
        <f t="shared" si="50"/>
        <v>1932754.5</v>
      </c>
    </row>
    <row r="347" spans="1:30" ht="30.75">
      <c r="A347" s="179"/>
      <c r="B347" s="185"/>
      <c r="C347" s="185"/>
      <c r="D347" s="190"/>
      <c r="E347" s="46" t="s">
        <v>229</v>
      </c>
      <c r="F347" s="127">
        <v>2235</v>
      </c>
      <c r="G347" s="44" t="s">
        <v>197</v>
      </c>
      <c r="H347" s="24">
        <v>5599062</v>
      </c>
      <c r="I347" s="25">
        <v>30.2</v>
      </c>
      <c r="J347" s="58">
        <v>3210</v>
      </c>
      <c r="K347" s="24">
        <f>1738078-630858+2392780</f>
        <v>3500000</v>
      </c>
      <c r="L347" s="34">
        <v>100</v>
      </c>
      <c r="M347" s="24"/>
      <c r="N347" s="24"/>
      <c r="O347" s="24">
        <f>741400</f>
        <v>741400</v>
      </c>
      <c r="P347" s="24">
        <f>1050000-741400-308600</f>
        <v>0</v>
      </c>
      <c r="Q347" s="24"/>
      <c r="R347" s="24">
        <v>319652.9</v>
      </c>
      <c r="S347" s="24">
        <f>506192.6</f>
        <v>506192.6</v>
      </c>
      <c r="T347" s="24">
        <f>1000000+308600-319652.9-506192.6</f>
        <v>482754.5</v>
      </c>
      <c r="U347" s="24"/>
      <c r="V347" s="24">
        <v>1450000</v>
      </c>
      <c r="W347" s="24"/>
      <c r="X347" s="24"/>
      <c r="Y347" s="118">
        <f t="shared" si="37"/>
        <v>0</v>
      </c>
      <c r="Z347" s="24">
        <f>741339.1+60+319652.9+506193.5</f>
        <v>1567245.5</v>
      </c>
      <c r="AA347" s="118">
        <f t="shared" si="48"/>
        <v>0</v>
      </c>
      <c r="AB347" s="118"/>
      <c r="AC347" s="24"/>
      <c r="AD347" s="118">
        <f t="shared" si="50"/>
        <v>1932754.5</v>
      </c>
    </row>
    <row r="348" spans="1:30" ht="30.75">
      <c r="A348" s="179"/>
      <c r="B348" s="185"/>
      <c r="C348" s="185"/>
      <c r="D348" s="190"/>
      <c r="E348" s="45" t="s">
        <v>902</v>
      </c>
      <c r="F348" s="127"/>
      <c r="G348" s="44"/>
      <c r="H348" s="24"/>
      <c r="I348" s="25"/>
      <c r="J348" s="58"/>
      <c r="K348" s="39">
        <f>SUM(K349:K350)</f>
        <v>3777000</v>
      </c>
      <c r="L348" s="39">
        <f aca="true" t="shared" si="52" ref="L348:Z348">SUM(L349:L350)</f>
        <v>0</v>
      </c>
      <c r="M348" s="39">
        <f t="shared" si="52"/>
        <v>0</v>
      </c>
      <c r="N348" s="39">
        <f t="shared" si="52"/>
        <v>0</v>
      </c>
      <c r="O348" s="39">
        <f t="shared" si="52"/>
        <v>0</v>
      </c>
      <c r="P348" s="39">
        <f t="shared" si="52"/>
        <v>234000</v>
      </c>
      <c r="Q348" s="39">
        <f t="shared" si="52"/>
        <v>150000</v>
      </c>
      <c r="R348" s="39">
        <f t="shared" si="52"/>
        <v>0</v>
      </c>
      <c r="S348" s="39">
        <f t="shared" si="52"/>
        <v>0</v>
      </c>
      <c r="T348" s="39">
        <f t="shared" si="52"/>
        <v>0</v>
      </c>
      <c r="U348" s="39">
        <f t="shared" si="52"/>
        <v>3393000</v>
      </c>
      <c r="V348" s="39">
        <f t="shared" si="52"/>
        <v>0</v>
      </c>
      <c r="W348" s="39">
        <f t="shared" si="52"/>
        <v>0</v>
      </c>
      <c r="X348" s="39">
        <f t="shared" si="52"/>
        <v>0</v>
      </c>
      <c r="Y348" s="118">
        <f t="shared" si="37"/>
        <v>0</v>
      </c>
      <c r="Z348" s="39">
        <f t="shared" si="52"/>
        <v>383360</v>
      </c>
      <c r="AA348" s="118">
        <f t="shared" si="48"/>
        <v>640</v>
      </c>
      <c r="AB348" s="118"/>
      <c r="AC348" s="24"/>
      <c r="AD348" s="118">
        <f t="shared" si="50"/>
        <v>3393640</v>
      </c>
    </row>
    <row r="349" spans="1:30" ht="78">
      <c r="A349" s="179"/>
      <c r="B349" s="185"/>
      <c r="C349" s="185"/>
      <c r="D349" s="190"/>
      <c r="E349" s="46" t="s">
        <v>903</v>
      </c>
      <c r="F349" s="127">
        <v>2626</v>
      </c>
      <c r="G349" s="44"/>
      <c r="H349" s="24"/>
      <c r="I349" s="25"/>
      <c r="J349" s="58">
        <v>3210</v>
      </c>
      <c r="K349" s="24">
        <v>234000</v>
      </c>
      <c r="L349" s="34"/>
      <c r="M349" s="24"/>
      <c r="N349" s="24"/>
      <c r="O349" s="24"/>
      <c r="P349" s="24">
        <v>234000</v>
      </c>
      <c r="Q349" s="24"/>
      <c r="R349" s="24"/>
      <c r="S349" s="24"/>
      <c r="T349" s="24"/>
      <c r="U349" s="24"/>
      <c r="V349" s="24"/>
      <c r="W349" s="24"/>
      <c r="X349" s="24"/>
      <c r="Y349" s="118">
        <f t="shared" si="37"/>
        <v>0</v>
      </c>
      <c r="Z349" s="24">
        <f>51000+63360+119000</f>
        <v>233360</v>
      </c>
      <c r="AA349" s="118">
        <f t="shared" si="48"/>
        <v>640</v>
      </c>
      <c r="AB349" s="118"/>
      <c r="AC349" s="24"/>
      <c r="AD349" s="118">
        <f t="shared" si="50"/>
        <v>640</v>
      </c>
    </row>
    <row r="350" spans="1:30" ht="30.75">
      <c r="A350" s="179"/>
      <c r="B350" s="185"/>
      <c r="C350" s="185"/>
      <c r="D350" s="190"/>
      <c r="E350" s="46" t="s">
        <v>904</v>
      </c>
      <c r="F350" s="127">
        <v>2629</v>
      </c>
      <c r="G350" s="44"/>
      <c r="H350" s="24"/>
      <c r="I350" s="25"/>
      <c r="J350" s="58">
        <v>3210</v>
      </c>
      <c r="K350" s="24">
        <v>3543000</v>
      </c>
      <c r="L350" s="34"/>
      <c r="M350" s="24"/>
      <c r="N350" s="24"/>
      <c r="O350" s="24"/>
      <c r="P350" s="24"/>
      <c r="Q350" s="24">
        <v>150000</v>
      </c>
      <c r="R350" s="24"/>
      <c r="S350" s="24"/>
      <c r="T350" s="24"/>
      <c r="U350" s="24">
        <f>3543000-150000</f>
        <v>3393000</v>
      </c>
      <c r="V350" s="24"/>
      <c r="W350" s="24"/>
      <c r="X350" s="24"/>
      <c r="Y350" s="118">
        <f t="shared" si="37"/>
        <v>0</v>
      </c>
      <c r="Z350" s="24">
        <v>150000</v>
      </c>
      <c r="AA350" s="118">
        <f t="shared" si="48"/>
        <v>0</v>
      </c>
      <c r="AB350" s="118"/>
      <c r="AC350" s="24"/>
      <c r="AD350" s="118">
        <f t="shared" si="50"/>
        <v>3393000</v>
      </c>
    </row>
    <row r="351" spans="1:30" ht="53.25" customHeight="1">
      <c r="A351" s="179"/>
      <c r="B351" s="185"/>
      <c r="C351" s="185"/>
      <c r="D351" s="190"/>
      <c r="E351" s="40" t="s">
        <v>84</v>
      </c>
      <c r="F351" s="98"/>
      <c r="G351" s="41"/>
      <c r="H351" s="39"/>
      <c r="I351" s="112"/>
      <c r="J351" s="58"/>
      <c r="K351" s="39">
        <f>K352</f>
        <v>1500000</v>
      </c>
      <c r="L351" s="39">
        <f aca="true" t="shared" si="53" ref="L351:Z351">L352</f>
        <v>40.4</v>
      </c>
      <c r="M351" s="39">
        <f t="shared" si="53"/>
        <v>0</v>
      </c>
      <c r="N351" s="39">
        <f t="shared" si="53"/>
        <v>0</v>
      </c>
      <c r="O351" s="39">
        <f t="shared" si="53"/>
        <v>0</v>
      </c>
      <c r="P351" s="39">
        <f t="shared" si="53"/>
        <v>148974.12</v>
      </c>
      <c r="Q351" s="39">
        <f t="shared" si="53"/>
        <v>0</v>
      </c>
      <c r="R351" s="39">
        <f t="shared" si="53"/>
        <v>0</v>
      </c>
      <c r="S351" s="39">
        <f t="shared" si="53"/>
        <v>0</v>
      </c>
      <c r="T351" s="39">
        <f t="shared" si="53"/>
        <v>0</v>
      </c>
      <c r="U351" s="39">
        <f t="shared" si="53"/>
        <v>537479.51</v>
      </c>
      <c r="V351" s="39">
        <f t="shared" si="53"/>
        <v>0</v>
      </c>
      <c r="W351" s="39">
        <f t="shared" si="53"/>
        <v>813546.37</v>
      </c>
      <c r="X351" s="39">
        <f t="shared" si="53"/>
        <v>0</v>
      </c>
      <c r="Y351" s="118">
        <f t="shared" si="37"/>
        <v>-1.1641532182693481E-10</v>
      </c>
      <c r="Z351" s="39">
        <f t="shared" si="53"/>
        <v>148974.12</v>
      </c>
      <c r="AA351" s="118">
        <f t="shared" si="48"/>
        <v>0</v>
      </c>
      <c r="AB351" s="118"/>
      <c r="AC351" s="24"/>
      <c r="AD351" s="118">
        <f t="shared" si="50"/>
        <v>1351025.88</v>
      </c>
    </row>
    <row r="352" spans="1:30" ht="30.75">
      <c r="A352" s="179"/>
      <c r="B352" s="185"/>
      <c r="C352" s="185"/>
      <c r="D352" s="190"/>
      <c r="E352" s="46" t="s">
        <v>230</v>
      </c>
      <c r="F352" s="127">
        <v>2236</v>
      </c>
      <c r="G352" s="44" t="s">
        <v>195</v>
      </c>
      <c r="H352" s="24">
        <v>3710000</v>
      </c>
      <c r="I352" s="37">
        <v>0</v>
      </c>
      <c r="J352" s="58">
        <v>3210</v>
      </c>
      <c r="K352" s="24">
        <v>1500000</v>
      </c>
      <c r="L352" s="34">
        <v>40.4</v>
      </c>
      <c r="M352" s="24"/>
      <c r="N352" s="24"/>
      <c r="O352" s="24"/>
      <c r="P352" s="24">
        <f>148974.12</f>
        <v>148974.12</v>
      </c>
      <c r="Q352" s="24"/>
      <c r="R352" s="24"/>
      <c r="S352" s="24">
        <f>148974.12-148974.12</f>
        <v>0</v>
      </c>
      <c r="T352" s="24"/>
      <c r="U352" s="24">
        <v>537479.51</v>
      </c>
      <c r="V352" s="24"/>
      <c r="W352" s="24">
        <v>813546.37</v>
      </c>
      <c r="X352" s="24"/>
      <c r="Y352" s="118">
        <f t="shared" si="37"/>
        <v>-1.1641532182693481E-10</v>
      </c>
      <c r="Z352" s="24">
        <f>148974.12</f>
        <v>148974.12</v>
      </c>
      <c r="AA352" s="118">
        <f t="shared" si="48"/>
        <v>0</v>
      </c>
      <c r="AB352" s="118"/>
      <c r="AC352" s="24"/>
      <c r="AD352" s="118">
        <f t="shared" si="50"/>
        <v>1351025.88</v>
      </c>
    </row>
    <row r="353" spans="1:30" ht="48" customHeight="1">
      <c r="A353" s="179"/>
      <c r="B353" s="185"/>
      <c r="C353" s="185"/>
      <c r="D353" s="190"/>
      <c r="E353" s="45" t="s">
        <v>4</v>
      </c>
      <c r="F353" s="126"/>
      <c r="G353" s="44"/>
      <c r="H353" s="39"/>
      <c r="I353" s="37"/>
      <c r="J353" s="58"/>
      <c r="K353" s="39">
        <f>SUM(K354:K354)</f>
        <v>1500000</v>
      </c>
      <c r="L353" s="39">
        <f aca="true" t="shared" si="54" ref="L353:Z353">SUM(L354:L354)</f>
        <v>100</v>
      </c>
      <c r="M353" s="39">
        <f t="shared" si="54"/>
        <v>0</v>
      </c>
      <c r="N353" s="39">
        <f t="shared" si="54"/>
        <v>0</v>
      </c>
      <c r="O353" s="39">
        <f t="shared" si="54"/>
        <v>0</v>
      </c>
      <c r="P353" s="39">
        <f t="shared" si="54"/>
        <v>41750</v>
      </c>
      <c r="Q353" s="39">
        <f t="shared" si="54"/>
        <v>0</v>
      </c>
      <c r="R353" s="39">
        <f t="shared" si="54"/>
        <v>0</v>
      </c>
      <c r="S353" s="39">
        <f t="shared" si="54"/>
        <v>50123</v>
      </c>
      <c r="T353" s="39">
        <f t="shared" si="54"/>
        <v>0</v>
      </c>
      <c r="U353" s="39">
        <f t="shared" si="54"/>
        <v>0</v>
      </c>
      <c r="V353" s="39">
        <f t="shared" si="54"/>
        <v>500000</v>
      </c>
      <c r="W353" s="39">
        <f t="shared" si="54"/>
        <v>569404.04</v>
      </c>
      <c r="X353" s="39">
        <f t="shared" si="54"/>
        <v>338722.96</v>
      </c>
      <c r="Y353" s="118">
        <f t="shared" si="37"/>
        <v>0</v>
      </c>
      <c r="Z353" s="39">
        <f t="shared" si="54"/>
        <v>41750</v>
      </c>
      <c r="AA353" s="118">
        <f t="shared" si="48"/>
        <v>50123</v>
      </c>
      <c r="AB353" s="118"/>
      <c r="AC353" s="24"/>
      <c r="AD353" s="118">
        <f t="shared" si="50"/>
        <v>1458250</v>
      </c>
    </row>
    <row r="354" spans="1:30" ht="46.5">
      <c r="A354" s="179"/>
      <c r="B354" s="185"/>
      <c r="C354" s="185"/>
      <c r="D354" s="190"/>
      <c r="E354" s="46" t="s">
        <v>231</v>
      </c>
      <c r="F354" s="127">
        <v>2237</v>
      </c>
      <c r="G354" s="44">
        <v>2020</v>
      </c>
      <c r="H354" s="24">
        <v>1500000</v>
      </c>
      <c r="I354" s="37">
        <v>0</v>
      </c>
      <c r="J354" s="58">
        <v>3210</v>
      </c>
      <c r="K354" s="24">
        <v>1500000</v>
      </c>
      <c r="L354" s="34">
        <v>100</v>
      </c>
      <c r="M354" s="24"/>
      <c r="N354" s="24"/>
      <c r="O354" s="24"/>
      <c r="P354" s="24">
        <f>41750</f>
        <v>41750</v>
      </c>
      <c r="Q354" s="24"/>
      <c r="R354" s="24">
        <f>91873-41750-50123</f>
        <v>0</v>
      </c>
      <c r="S354" s="24">
        <v>50123</v>
      </c>
      <c r="T354" s="24"/>
      <c r="U354" s="24"/>
      <c r="V354" s="24">
        <v>500000</v>
      </c>
      <c r="W354" s="24">
        <v>569404.04</v>
      </c>
      <c r="X354" s="24">
        <v>338722.96</v>
      </c>
      <c r="Y354" s="118">
        <f t="shared" si="37"/>
        <v>0</v>
      </c>
      <c r="Z354" s="24">
        <v>41750</v>
      </c>
      <c r="AA354" s="118">
        <f t="shared" si="48"/>
        <v>50123</v>
      </c>
      <c r="AB354" s="118"/>
      <c r="AC354" s="24"/>
      <c r="AD354" s="118">
        <f t="shared" si="50"/>
        <v>1458250</v>
      </c>
    </row>
    <row r="355" spans="1:30" ht="51.75" customHeight="1">
      <c r="A355" s="179"/>
      <c r="B355" s="185"/>
      <c r="C355" s="185"/>
      <c r="D355" s="190"/>
      <c r="E355" s="45" t="s">
        <v>85</v>
      </c>
      <c r="F355" s="126"/>
      <c r="G355" s="44"/>
      <c r="H355" s="39"/>
      <c r="I355" s="37"/>
      <c r="J355" s="58"/>
      <c r="K355" s="39">
        <f>SUM(K356:K356)</f>
        <v>1450000</v>
      </c>
      <c r="L355" s="39">
        <f aca="true" t="shared" si="55" ref="L355:Z355">SUM(L356:L356)</f>
        <v>97</v>
      </c>
      <c r="M355" s="39">
        <f t="shared" si="55"/>
        <v>0</v>
      </c>
      <c r="N355" s="39">
        <f t="shared" si="55"/>
        <v>0</v>
      </c>
      <c r="O355" s="39">
        <f t="shared" si="55"/>
        <v>0</v>
      </c>
      <c r="P355" s="39">
        <f t="shared" si="55"/>
        <v>77663</v>
      </c>
      <c r="Q355" s="39">
        <f t="shared" si="55"/>
        <v>0</v>
      </c>
      <c r="R355" s="39">
        <f t="shared" si="55"/>
        <v>403610.85</v>
      </c>
      <c r="S355" s="39">
        <f t="shared" si="55"/>
        <v>0</v>
      </c>
      <c r="T355" s="39">
        <f t="shared" si="55"/>
        <v>0</v>
      </c>
      <c r="U355" s="39">
        <f t="shared" si="55"/>
        <v>0</v>
      </c>
      <c r="V355" s="39">
        <f t="shared" si="55"/>
        <v>199991.96000000008</v>
      </c>
      <c r="W355" s="39">
        <f t="shared" si="55"/>
        <v>0</v>
      </c>
      <c r="X355" s="39">
        <f t="shared" si="55"/>
        <v>768734.19</v>
      </c>
      <c r="Y355" s="118">
        <f t="shared" si="37"/>
        <v>0</v>
      </c>
      <c r="Z355" s="39">
        <f t="shared" si="55"/>
        <v>481273.85</v>
      </c>
      <c r="AA355" s="118">
        <f t="shared" si="48"/>
        <v>0</v>
      </c>
      <c r="AB355" s="118"/>
      <c r="AC355" s="24"/>
      <c r="AD355" s="118">
        <f t="shared" si="50"/>
        <v>968726.15</v>
      </c>
    </row>
    <row r="356" spans="1:30" ht="30.75">
      <c r="A356" s="179"/>
      <c r="B356" s="185"/>
      <c r="C356" s="185"/>
      <c r="D356" s="190"/>
      <c r="E356" s="46" t="s">
        <v>232</v>
      </c>
      <c r="F356" s="127">
        <v>2238</v>
      </c>
      <c r="G356" s="44">
        <v>2020</v>
      </c>
      <c r="H356" s="24">
        <v>1497887</v>
      </c>
      <c r="I356" s="37">
        <v>0</v>
      </c>
      <c r="J356" s="58">
        <v>3210</v>
      </c>
      <c r="K356" s="24">
        <v>1450000</v>
      </c>
      <c r="L356" s="34">
        <v>97</v>
      </c>
      <c r="M356" s="24"/>
      <c r="N356" s="24"/>
      <c r="O356" s="24"/>
      <c r="P356" s="24">
        <f>77663</f>
        <v>77663</v>
      </c>
      <c r="Q356" s="24"/>
      <c r="R356" s="24">
        <v>403610.85</v>
      </c>
      <c r="S356" s="24"/>
      <c r="T356" s="24"/>
      <c r="U356" s="24"/>
      <c r="V356" s="24">
        <f>681265.81-77663-403610.85</f>
        <v>199991.96000000008</v>
      </c>
      <c r="W356" s="24"/>
      <c r="X356" s="24">
        <v>768734.19</v>
      </c>
      <c r="Y356" s="118">
        <f t="shared" si="37"/>
        <v>0</v>
      </c>
      <c r="Z356" s="24">
        <f>77663+403610.85</f>
        <v>481273.85</v>
      </c>
      <c r="AA356" s="118">
        <f t="shared" si="48"/>
        <v>0</v>
      </c>
      <c r="AB356" s="118"/>
      <c r="AC356" s="24"/>
      <c r="AD356" s="118">
        <f t="shared" si="50"/>
        <v>968726.15</v>
      </c>
    </row>
    <row r="357" spans="1:30" ht="30.75">
      <c r="A357" s="179"/>
      <c r="B357" s="185"/>
      <c r="C357" s="185"/>
      <c r="D357" s="190"/>
      <c r="E357" s="45" t="s">
        <v>695</v>
      </c>
      <c r="F357" s="126"/>
      <c r="G357" s="44"/>
      <c r="H357" s="24"/>
      <c r="I357" s="37"/>
      <c r="J357" s="58"/>
      <c r="K357" s="39">
        <f>K358</f>
        <v>446000</v>
      </c>
      <c r="L357" s="39">
        <f aca="true" t="shared" si="56" ref="L357:Z357">L358</f>
        <v>0</v>
      </c>
      <c r="M357" s="39">
        <f t="shared" si="56"/>
        <v>0</v>
      </c>
      <c r="N357" s="39">
        <f t="shared" si="56"/>
        <v>0</v>
      </c>
      <c r="O357" s="39">
        <f t="shared" si="56"/>
        <v>0</v>
      </c>
      <c r="P357" s="39">
        <f t="shared" si="56"/>
        <v>0</v>
      </c>
      <c r="Q357" s="39">
        <f t="shared" si="56"/>
        <v>0</v>
      </c>
      <c r="R357" s="39">
        <f t="shared" si="56"/>
        <v>0</v>
      </c>
      <c r="S357" s="39">
        <f t="shared" si="56"/>
        <v>0</v>
      </c>
      <c r="T357" s="39">
        <f t="shared" si="56"/>
        <v>0</v>
      </c>
      <c r="U357" s="39">
        <f t="shared" si="56"/>
        <v>0</v>
      </c>
      <c r="V357" s="39">
        <f t="shared" si="56"/>
        <v>0</v>
      </c>
      <c r="W357" s="39">
        <f t="shared" si="56"/>
        <v>0</v>
      </c>
      <c r="X357" s="39">
        <f t="shared" si="56"/>
        <v>446000</v>
      </c>
      <c r="Y357" s="118">
        <f t="shared" si="37"/>
        <v>0</v>
      </c>
      <c r="Z357" s="39">
        <f t="shared" si="56"/>
        <v>0</v>
      </c>
      <c r="AA357" s="118">
        <f t="shared" si="48"/>
        <v>0</v>
      </c>
      <c r="AB357" s="118"/>
      <c r="AC357" s="24"/>
      <c r="AD357" s="118">
        <f t="shared" si="50"/>
        <v>446000</v>
      </c>
    </row>
    <row r="358" spans="1:30" ht="62.25">
      <c r="A358" s="179"/>
      <c r="B358" s="185"/>
      <c r="C358" s="185"/>
      <c r="D358" s="190"/>
      <c r="E358" s="46" t="s">
        <v>694</v>
      </c>
      <c r="F358" s="127">
        <v>2239</v>
      </c>
      <c r="G358" s="44"/>
      <c r="H358" s="24"/>
      <c r="I358" s="37"/>
      <c r="J358" s="58">
        <v>3210</v>
      </c>
      <c r="K358" s="24">
        <v>446000</v>
      </c>
      <c r="L358" s="34"/>
      <c r="M358" s="24"/>
      <c r="N358" s="24">
        <f>446000-446000</f>
        <v>0</v>
      </c>
      <c r="O358" s="24"/>
      <c r="P358" s="24"/>
      <c r="Q358" s="24"/>
      <c r="R358" s="24"/>
      <c r="S358" s="24"/>
      <c r="T358" s="24"/>
      <c r="U358" s="24"/>
      <c r="V358" s="24"/>
      <c r="W358" s="24"/>
      <c r="X358" s="24">
        <f>446000</f>
        <v>446000</v>
      </c>
      <c r="Y358" s="118">
        <f t="shared" si="37"/>
        <v>0</v>
      </c>
      <c r="Z358" s="24"/>
      <c r="AA358" s="118">
        <f t="shared" si="48"/>
        <v>0</v>
      </c>
      <c r="AB358" s="118"/>
      <c r="AC358" s="24"/>
      <c r="AD358" s="118">
        <f t="shared" si="50"/>
        <v>446000</v>
      </c>
    </row>
    <row r="359" spans="1:30" ht="30.75">
      <c r="A359" s="179"/>
      <c r="B359" s="185"/>
      <c r="C359" s="185"/>
      <c r="D359" s="190"/>
      <c r="E359" s="45" t="s">
        <v>234</v>
      </c>
      <c r="F359" s="126"/>
      <c r="G359" s="44"/>
      <c r="H359" s="24"/>
      <c r="I359" s="37"/>
      <c r="J359" s="58"/>
      <c r="K359" s="39">
        <f>K360</f>
        <v>869717</v>
      </c>
      <c r="L359" s="39">
        <f aca="true" t="shared" si="57" ref="L359:Z359">L360</f>
        <v>100</v>
      </c>
      <c r="M359" s="39">
        <f t="shared" si="57"/>
        <v>0</v>
      </c>
      <c r="N359" s="39">
        <f t="shared" si="57"/>
        <v>0</v>
      </c>
      <c r="O359" s="39">
        <f t="shared" si="57"/>
        <v>58000</v>
      </c>
      <c r="P359" s="39">
        <f t="shared" si="57"/>
        <v>0</v>
      </c>
      <c r="Q359" s="39">
        <f t="shared" si="57"/>
        <v>0</v>
      </c>
      <c r="R359" s="39">
        <f t="shared" si="57"/>
        <v>0</v>
      </c>
      <c r="S359" s="39">
        <f t="shared" si="57"/>
        <v>811717</v>
      </c>
      <c r="T359" s="39">
        <f t="shared" si="57"/>
        <v>0</v>
      </c>
      <c r="U359" s="39">
        <f t="shared" si="57"/>
        <v>0</v>
      </c>
      <c r="V359" s="39">
        <f t="shared" si="57"/>
        <v>0</v>
      </c>
      <c r="W359" s="39">
        <f t="shared" si="57"/>
        <v>0</v>
      </c>
      <c r="X359" s="39">
        <f t="shared" si="57"/>
        <v>0</v>
      </c>
      <c r="Y359" s="118">
        <f aca="true" t="shared" si="58" ref="Y359:Y426">K359-M359-N359-O359-P359-Q359-R359-S359-T359-U359-V359-W359-X359</f>
        <v>0</v>
      </c>
      <c r="Z359" s="39">
        <f t="shared" si="57"/>
        <v>54427.2</v>
      </c>
      <c r="AA359" s="118">
        <f t="shared" si="48"/>
        <v>815289.8</v>
      </c>
      <c r="AB359" s="118"/>
      <c r="AC359" s="24"/>
      <c r="AD359" s="118">
        <f t="shared" si="50"/>
        <v>815289.8</v>
      </c>
    </row>
    <row r="360" spans="1:30" ht="62.25">
      <c r="A360" s="179"/>
      <c r="B360" s="185"/>
      <c r="C360" s="185"/>
      <c r="D360" s="190"/>
      <c r="E360" s="46" t="s">
        <v>233</v>
      </c>
      <c r="F360" s="127">
        <v>2240</v>
      </c>
      <c r="G360" s="44">
        <v>2020</v>
      </c>
      <c r="H360" s="24">
        <v>869717</v>
      </c>
      <c r="I360" s="37">
        <v>0</v>
      </c>
      <c r="J360" s="58">
        <v>3210</v>
      </c>
      <c r="K360" s="24">
        <v>869717</v>
      </c>
      <c r="L360" s="34">
        <v>100</v>
      </c>
      <c r="M360" s="24"/>
      <c r="N360" s="24"/>
      <c r="O360" s="24">
        <v>58000</v>
      </c>
      <c r="P360" s="24"/>
      <c r="Q360" s="24"/>
      <c r="R360" s="24"/>
      <c r="S360" s="24">
        <v>811717</v>
      </c>
      <c r="T360" s="24"/>
      <c r="U360" s="24"/>
      <c r="V360" s="24"/>
      <c r="W360" s="24"/>
      <c r="X360" s="24"/>
      <c r="Y360" s="118">
        <f t="shared" si="58"/>
        <v>0</v>
      </c>
      <c r="Z360" s="24">
        <f>54427.2</f>
        <v>54427.2</v>
      </c>
      <c r="AA360" s="118">
        <f t="shared" si="48"/>
        <v>815289.8</v>
      </c>
      <c r="AB360" s="118"/>
      <c r="AC360" s="24"/>
      <c r="AD360" s="118">
        <f t="shared" si="50"/>
        <v>815289.8</v>
      </c>
    </row>
    <row r="361" spans="1:30" ht="30.75">
      <c r="A361" s="179"/>
      <c r="B361" s="108"/>
      <c r="C361" s="108"/>
      <c r="D361" s="190"/>
      <c r="E361" s="45" t="s">
        <v>906</v>
      </c>
      <c r="F361" s="127"/>
      <c r="G361" s="44"/>
      <c r="H361" s="24"/>
      <c r="I361" s="37"/>
      <c r="J361" s="58"/>
      <c r="K361" s="39">
        <f>K362</f>
        <v>3303000</v>
      </c>
      <c r="L361" s="39">
        <f aca="true" t="shared" si="59" ref="L361:Z361">L362</f>
        <v>0</v>
      </c>
      <c r="M361" s="39">
        <f t="shared" si="59"/>
        <v>0</v>
      </c>
      <c r="N361" s="39">
        <f t="shared" si="59"/>
        <v>0</v>
      </c>
      <c r="O361" s="39">
        <f t="shared" si="59"/>
        <v>0</v>
      </c>
      <c r="P361" s="39">
        <f t="shared" si="59"/>
        <v>0</v>
      </c>
      <c r="Q361" s="39">
        <f t="shared" si="59"/>
        <v>0</v>
      </c>
      <c r="R361" s="39">
        <f t="shared" si="59"/>
        <v>0</v>
      </c>
      <c r="S361" s="39">
        <f t="shared" si="59"/>
        <v>604200</v>
      </c>
      <c r="T361" s="39">
        <f t="shared" si="59"/>
        <v>0</v>
      </c>
      <c r="U361" s="39">
        <f t="shared" si="59"/>
        <v>0</v>
      </c>
      <c r="V361" s="39">
        <f t="shared" si="59"/>
        <v>2698800</v>
      </c>
      <c r="W361" s="39">
        <f t="shared" si="59"/>
        <v>0</v>
      </c>
      <c r="X361" s="39">
        <f t="shared" si="59"/>
        <v>0</v>
      </c>
      <c r="Y361" s="118">
        <f t="shared" si="58"/>
        <v>0</v>
      </c>
      <c r="Z361" s="39">
        <f t="shared" si="59"/>
        <v>604200</v>
      </c>
      <c r="AA361" s="118">
        <f t="shared" si="48"/>
        <v>0</v>
      </c>
      <c r="AB361" s="118"/>
      <c r="AC361" s="24"/>
      <c r="AD361" s="118">
        <f t="shared" si="50"/>
        <v>2698800</v>
      </c>
    </row>
    <row r="362" spans="1:30" ht="46.5">
      <c r="A362" s="179"/>
      <c r="B362" s="108"/>
      <c r="C362" s="108"/>
      <c r="D362" s="190"/>
      <c r="E362" s="46" t="s">
        <v>907</v>
      </c>
      <c r="F362" s="127">
        <v>2627</v>
      </c>
      <c r="G362" s="44"/>
      <c r="H362" s="24"/>
      <c r="I362" s="37"/>
      <c r="J362" s="58">
        <v>3210</v>
      </c>
      <c r="K362" s="24">
        <v>3303000</v>
      </c>
      <c r="L362" s="34"/>
      <c r="M362" s="24"/>
      <c r="N362" s="24"/>
      <c r="O362" s="24"/>
      <c r="P362" s="24"/>
      <c r="Q362" s="24"/>
      <c r="R362" s="24"/>
      <c r="S362" s="24">
        <v>604200</v>
      </c>
      <c r="T362" s="24"/>
      <c r="U362" s="24"/>
      <c r="V362" s="24">
        <f>3303000-604200</f>
        <v>2698800</v>
      </c>
      <c r="W362" s="24"/>
      <c r="X362" s="24"/>
      <c r="Y362" s="118">
        <f t="shared" si="58"/>
        <v>0</v>
      </c>
      <c r="Z362" s="24">
        <f>604200</f>
        <v>604200</v>
      </c>
      <c r="AA362" s="118">
        <f t="shared" si="48"/>
        <v>0</v>
      </c>
      <c r="AB362" s="118"/>
      <c r="AC362" s="24"/>
      <c r="AD362" s="118">
        <f t="shared" si="50"/>
        <v>2698800</v>
      </c>
    </row>
    <row r="363" spans="1:30" ht="30.75">
      <c r="A363" s="179"/>
      <c r="B363" s="108"/>
      <c r="C363" s="108"/>
      <c r="D363" s="190"/>
      <c r="E363" s="45" t="s">
        <v>908</v>
      </c>
      <c r="F363" s="127"/>
      <c r="G363" s="44"/>
      <c r="H363" s="24"/>
      <c r="I363" s="37"/>
      <c r="J363" s="58"/>
      <c r="K363" s="39">
        <f>K364</f>
        <v>3000000</v>
      </c>
      <c r="L363" s="39">
        <f aca="true" t="shared" si="60" ref="L363:Z363">L364</f>
        <v>0</v>
      </c>
      <c r="M363" s="39">
        <f t="shared" si="60"/>
        <v>0</v>
      </c>
      <c r="N363" s="39">
        <f t="shared" si="60"/>
        <v>0</v>
      </c>
      <c r="O363" s="39">
        <f t="shared" si="60"/>
        <v>0</v>
      </c>
      <c r="P363" s="39">
        <f t="shared" si="60"/>
        <v>0</v>
      </c>
      <c r="Q363" s="39">
        <f t="shared" si="60"/>
        <v>0</v>
      </c>
      <c r="R363" s="39">
        <f t="shared" si="60"/>
        <v>0</v>
      </c>
      <c r="S363" s="39">
        <f t="shared" si="60"/>
        <v>0</v>
      </c>
      <c r="T363" s="39">
        <f t="shared" si="60"/>
        <v>0</v>
      </c>
      <c r="U363" s="39">
        <f t="shared" si="60"/>
        <v>0</v>
      </c>
      <c r="V363" s="39">
        <f t="shared" si="60"/>
        <v>3000000</v>
      </c>
      <c r="W363" s="39">
        <f t="shared" si="60"/>
        <v>0</v>
      </c>
      <c r="X363" s="39">
        <f t="shared" si="60"/>
        <v>0</v>
      </c>
      <c r="Y363" s="118">
        <f t="shared" si="58"/>
        <v>0</v>
      </c>
      <c r="Z363" s="39">
        <f t="shared" si="60"/>
        <v>0</v>
      </c>
      <c r="AA363" s="118">
        <f t="shared" si="48"/>
        <v>0</v>
      </c>
      <c r="AB363" s="118"/>
      <c r="AC363" s="24"/>
      <c r="AD363" s="118">
        <f t="shared" si="50"/>
        <v>3000000</v>
      </c>
    </row>
    <row r="364" spans="1:30" ht="46.5">
      <c r="A364" s="180"/>
      <c r="B364" s="108"/>
      <c r="C364" s="108"/>
      <c r="D364" s="191"/>
      <c r="E364" s="46" t="s">
        <v>909</v>
      </c>
      <c r="F364" s="127">
        <v>2628</v>
      </c>
      <c r="G364" s="44"/>
      <c r="H364" s="24"/>
      <c r="I364" s="37"/>
      <c r="J364" s="58">
        <v>3210</v>
      </c>
      <c r="K364" s="24">
        <v>3000000</v>
      </c>
      <c r="L364" s="34"/>
      <c r="M364" s="24"/>
      <c r="N364" s="24"/>
      <c r="O364" s="24"/>
      <c r="P364" s="24"/>
      <c r="Q364" s="24"/>
      <c r="R364" s="24"/>
      <c r="S364" s="24"/>
      <c r="T364" s="24"/>
      <c r="U364" s="24"/>
      <c r="V364" s="24">
        <v>3000000</v>
      </c>
      <c r="W364" s="24"/>
      <c r="X364" s="24"/>
      <c r="Y364" s="118">
        <f t="shared" si="58"/>
        <v>0</v>
      </c>
      <c r="Z364" s="24"/>
      <c r="AA364" s="118">
        <f t="shared" si="48"/>
        <v>0</v>
      </c>
      <c r="AB364" s="118"/>
      <c r="AC364" s="24"/>
      <c r="AD364" s="118">
        <f t="shared" si="50"/>
        <v>3000000</v>
      </c>
    </row>
    <row r="365" spans="1:30" ht="20.25">
      <c r="A365" s="114" t="s">
        <v>89</v>
      </c>
      <c r="B365" s="114"/>
      <c r="C365" s="114"/>
      <c r="D365" s="187" t="s">
        <v>90</v>
      </c>
      <c r="E365" s="188"/>
      <c r="F365" s="128"/>
      <c r="G365" s="114"/>
      <c r="H365" s="114"/>
      <c r="I365" s="129"/>
      <c r="J365" s="58"/>
      <c r="K365" s="130">
        <f>K366</f>
        <v>3492284.5</v>
      </c>
      <c r="L365" s="130">
        <f aca="true" t="shared" si="61" ref="L365:Z365">L366</f>
        <v>500</v>
      </c>
      <c r="M365" s="130">
        <f t="shared" si="61"/>
        <v>0</v>
      </c>
      <c r="N365" s="130">
        <f t="shared" si="61"/>
        <v>0</v>
      </c>
      <c r="O365" s="130">
        <f t="shared" si="61"/>
        <v>491712</v>
      </c>
      <c r="P365" s="130">
        <f t="shared" si="61"/>
        <v>1151665</v>
      </c>
      <c r="Q365" s="130">
        <f t="shared" si="61"/>
        <v>1111665</v>
      </c>
      <c r="R365" s="130">
        <f t="shared" si="61"/>
        <v>737242.5</v>
      </c>
      <c r="S365" s="130">
        <f t="shared" si="61"/>
        <v>0</v>
      </c>
      <c r="T365" s="130">
        <f t="shared" si="61"/>
        <v>0</v>
      </c>
      <c r="U365" s="130">
        <f t="shared" si="61"/>
        <v>0</v>
      </c>
      <c r="V365" s="130">
        <f t="shared" si="61"/>
        <v>0</v>
      </c>
      <c r="W365" s="130">
        <f t="shared" si="61"/>
        <v>0</v>
      </c>
      <c r="X365" s="130">
        <f t="shared" si="61"/>
        <v>0</v>
      </c>
      <c r="Y365" s="118">
        <f t="shared" si="58"/>
        <v>0</v>
      </c>
      <c r="Z365" s="130">
        <f t="shared" si="61"/>
        <v>1942609.58</v>
      </c>
      <c r="AA365" s="118">
        <f t="shared" si="48"/>
        <v>1549674.92</v>
      </c>
      <c r="AB365" s="118"/>
      <c r="AC365" s="24"/>
      <c r="AD365" s="118">
        <f t="shared" si="50"/>
        <v>1549674.92</v>
      </c>
    </row>
    <row r="366" spans="1:30" ht="20.25">
      <c r="A366" s="114" t="s">
        <v>91</v>
      </c>
      <c r="B366" s="114"/>
      <c r="C366" s="114"/>
      <c r="D366" s="187" t="s">
        <v>90</v>
      </c>
      <c r="E366" s="188"/>
      <c r="F366" s="128"/>
      <c r="G366" s="114"/>
      <c r="H366" s="114"/>
      <c r="I366" s="129"/>
      <c r="J366" s="58"/>
      <c r="K366" s="130">
        <f>K369+K378+K373+K371</f>
        <v>3492284.5</v>
      </c>
      <c r="L366" s="130">
        <f aca="true" t="shared" si="62" ref="L366:Z366">L369+L378+L373+L371</f>
        <v>500</v>
      </c>
      <c r="M366" s="130">
        <f t="shared" si="62"/>
        <v>0</v>
      </c>
      <c r="N366" s="130">
        <f t="shared" si="62"/>
        <v>0</v>
      </c>
      <c r="O366" s="130">
        <f t="shared" si="62"/>
        <v>491712</v>
      </c>
      <c r="P366" s="130">
        <f t="shared" si="62"/>
        <v>1151665</v>
      </c>
      <c r="Q366" s="130">
        <f t="shared" si="62"/>
        <v>1111665</v>
      </c>
      <c r="R366" s="130">
        <f t="shared" si="62"/>
        <v>737242.5</v>
      </c>
      <c r="S366" s="130">
        <f t="shared" si="62"/>
        <v>0</v>
      </c>
      <c r="T366" s="130">
        <f t="shared" si="62"/>
        <v>0</v>
      </c>
      <c r="U366" s="130">
        <f t="shared" si="62"/>
        <v>0</v>
      </c>
      <c r="V366" s="130">
        <f t="shared" si="62"/>
        <v>0</v>
      </c>
      <c r="W366" s="130">
        <f t="shared" si="62"/>
        <v>0</v>
      </c>
      <c r="X366" s="130">
        <f t="shared" si="62"/>
        <v>0</v>
      </c>
      <c r="Y366" s="118">
        <f t="shared" si="58"/>
        <v>0</v>
      </c>
      <c r="Z366" s="130">
        <f t="shared" si="62"/>
        <v>1942609.58</v>
      </c>
      <c r="AA366" s="118">
        <f t="shared" si="48"/>
        <v>1549674.92</v>
      </c>
      <c r="AB366" s="118"/>
      <c r="AC366" s="24"/>
      <c r="AD366" s="118">
        <f t="shared" si="50"/>
        <v>1549674.92</v>
      </c>
    </row>
    <row r="367" spans="1:30" ht="21" hidden="1">
      <c r="A367" s="185" t="s">
        <v>92</v>
      </c>
      <c r="B367" s="185" t="s">
        <v>29</v>
      </c>
      <c r="C367" s="185" t="s">
        <v>30</v>
      </c>
      <c r="D367" s="184" t="s">
        <v>31</v>
      </c>
      <c r="E367" s="19"/>
      <c r="F367" s="96"/>
      <c r="G367" s="20"/>
      <c r="H367" s="21"/>
      <c r="I367" s="33"/>
      <c r="J367" s="58"/>
      <c r="K367" s="23">
        <f>SUM(K368:K368)</f>
        <v>0</v>
      </c>
      <c r="L367" s="23">
        <f aca="true" t="shared" si="63" ref="L367:Z367">SUM(L368:L368)</f>
        <v>0</v>
      </c>
      <c r="M367" s="23">
        <f t="shared" si="63"/>
        <v>0</v>
      </c>
      <c r="N367" s="23">
        <f t="shared" si="63"/>
        <v>0</v>
      </c>
      <c r="O367" s="23">
        <f t="shared" si="63"/>
        <v>0</v>
      </c>
      <c r="P367" s="23">
        <f t="shared" si="63"/>
        <v>0</v>
      </c>
      <c r="Q367" s="23">
        <f t="shared" si="63"/>
        <v>0</v>
      </c>
      <c r="R367" s="23">
        <f t="shared" si="63"/>
        <v>0</v>
      </c>
      <c r="S367" s="23">
        <f t="shared" si="63"/>
        <v>0</v>
      </c>
      <c r="T367" s="23">
        <f t="shared" si="63"/>
        <v>0</v>
      </c>
      <c r="U367" s="23">
        <f t="shared" si="63"/>
        <v>0</v>
      </c>
      <c r="V367" s="23">
        <f t="shared" si="63"/>
        <v>0</v>
      </c>
      <c r="W367" s="23">
        <f t="shared" si="63"/>
        <v>0</v>
      </c>
      <c r="X367" s="23">
        <f t="shared" si="63"/>
        <v>0</v>
      </c>
      <c r="Y367" s="118">
        <f t="shared" si="58"/>
        <v>0</v>
      </c>
      <c r="Z367" s="23">
        <f t="shared" si="63"/>
        <v>0</v>
      </c>
      <c r="AA367" s="118">
        <f t="shared" si="48"/>
        <v>0</v>
      </c>
      <c r="AB367" s="118"/>
      <c r="AC367" s="24"/>
      <c r="AD367" s="118">
        <f t="shared" si="50"/>
        <v>0</v>
      </c>
    </row>
    <row r="368" spans="1:30" ht="21" hidden="1">
      <c r="A368" s="185"/>
      <c r="B368" s="185"/>
      <c r="C368" s="185"/>
      <c r="D368" s="184"/>
      <c r="E368" s="19"/>
      <c r="F368" s="96"/>
      <c r="G368" s="25"/>
      <c r="H368" s="24"/>
      <c r="I368" s="25"/>
      <c r="J368" s="58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118">
        <f t="shared" si="58"/>
        <v>0</v>
      </c>
      <c r="Z368" s="20"/>
      <c r="AA368" s="118">
        <f t="shared" si="48"/>
        <v>0</v>
      </c>
      <c r="AB368" s="118"/>
      <c r="AC368" s="24"/>
      <c r="AD368" s="118">
        <f t="shared" si="50"/>
        <v>0</v>
      </c>
    </row>
    <row r="369" spans="1:30" ht="21">
      <c r="A369" s="185" t="s">
        <v>93</v>
      </c>
      <c r="B369" s="185" t="s">
        <v>94</v>
      </c>
      <c r="C369" s="185" t="s">
        <v>95</v>
      </c>
      <c r="D369" s="184" t="s">
        <v>96</v>
      </c>
      <c r="E369" s="19"/>
      <c r="F369" s="96"/>
      <c r="G369" s="20"/>
      <c r="H369" s="21"/>
      <c r="I369" s="33"/>
      <c r="J369" s="58"/>
      <c r="K369" s="23">
        <f>SUM(K370:K370)</f>
        <v>185000</v>
      </c>
      <c r="L369" s="23">
        <f aca="true" t="shared" si="64" ref="L369:Z369">SUM(L370:L370)</f>
        <v>0</v>
      </c>
      <c r="M369" s="23">
        <f t="shared" si="64"/>
        <v>0</v>
      </c>
      <c r="N369" s="23">
        <f t="shared" si="64"/>
        <v>0</v>
      </c>
      <c r="O369" s="23">
        <f t="shared" si="64"/>
        <v>0</v>
      </c>
      <c r="P369" s="23">
        <f t="shared" si="64"/>
        <v>185000</v>
      </c>
      <c r="Q369" s="23">
        <f t="shared" si="64"/>
        <v>0</v>
      </c>
      <c r="R369" s="23">
        <f t="shared" si="64"/>
        <v>0</v>
      </c>
      <c r="S369" s="23">
        <f t="shared" si="64"/>
        <v>0</v>
      </c>
      <c r="T369" s="23">
        <f t="shared" si="64"/>
        <v>0</v>
      </c>
      <c r="U369" s="23">
        <f t="shared" si="64"/>
        <v>0</v>
      </c>
      <c r="V369" s="23">
        <f t="shared" si="64"/>
        <v>0</v>
      </c>
      <c r="W369" s="23">
        <f t="shared" si="64"/>
        <v>0</v>
      </c>
      <c r="X369" s="23">
        <f t="shared" si="64"/>
        <v>0</v>
      </c>
      <c r="Y369" s="118">
        <f t="shared" si="58"/>
        <v>0</v>
      </c>
      <c r="Z369" s="23">
        <f t="shared" si="64"/>
        <v>184884</v>
      </c>
      <c r="AA369" s="118">
        <f t="shared" si="48"/>
        <v>116</v>
      </c>
      <c r="AB369" s="118"/>
      <c r="AC369" s="24"/>
      <c r="AD369" s="118">
        <f t="shared" si="50"/>
        <v>116</v>
      </c>
    </row>
    <row r="370" spans="1:30" ht="30.75">
      <c r="A370" s="185"/>
      <c r="B370" s="185"/>
      <c r="C370" s="185"/>
      <c r="D370" s="184"/>
      <c r="E370" s="19" t="s">
        <v>198</v>
      </c>
      <c r="F370" s="96">
        <v>2241</v>
      </c>
      <c r="G370" s="51"/>
      <c r="H370" s="52"/>
      <c r="I370" s="53"/>
      <c r="J370" s="58">
        <v>3110</v>
      </c>
      <c r="K370" s="24">
        <v>185000</v>
      </c>
      <c r="L370" s="34"/>
      <c r="M370" s="24"/>
      <c r="N370" s="24"/>
      <c r="O370" s="24"/>
      <c r="P370" s="24">
        <v>185000</v>
      </c>
      <c r="Q370" s="24"/>
      <c r="R370" s="24"/>
      <c r="S370" s="24"/>
      <c r="T370" s="24"/>
      <c r="U370" s="24"/>
      <c r="V370" s="24"/>
      <c r="W370" s="24"/>
      <c r="X370" s="24"/>
      <c r="Y370" s="118">
        <f t="shared" si="58"/>
        <v>0</v>
      </c>
      <c r="Z370" s="24">
        <f>184884</f>
        <v>184884</v>
      </c>
      <c r="AA370" s="118">
        <f t="shared" si="48"/>
        <v>116</v>
      </c>
      <c r="AB370" s="118"/>
      <c r="AC370" s="24"/>
      <c r="AD370" s="118">
        <f t="shared" si="50"/>
        <v>116</v>
      </c>
    </row>
    <row r="371" spans="1:30" ht="21">
      <c r="A371" s="178" t="s">
        <v>182</v>
      </c>
      <c r="B371" s="108" t="s">
        <v>183</v>
      </c>
      <c r="C371" s="108" t="s">
        <v>184</v>
      </c>
      <c r="D371" s="181" t="s">
        <v>185</v>
      </c>
      <c r="E371" s="19"/>
      <c r="F371" s="96"/>
      <c r="G371" s="51"/>
      <c r="H371" s="52"/>
      <c r="I371" s="53"/>
      <c r="J371" s="58"/>
      <c r="K371" s="39">
        <f>K372</f>
        <v>175000</v>
      </c>
      <c r="L371" s="39">
        <f aca="true" t="shared" si="65" ref="L371:Z371">L372</f>
        <v>0</v>
      </c>
      <c r="M371" s="39">
        <f t="shared" si="65"/>
        <v>0</v>
      </c>
      <c r="N371" s="39">
        <f t="shared" si="65"/>
        <v>0</v>
      </c>
      <c r="O371" s="39">
        <f t="shared" si="65"/>
        <v>1452</v>
      </c>
      <c r="P371" s="39">
        <f t="shared" si="65"/>
        <v>16665</v>
      </c>
      <c r="Q371" s="39">
        <f t="shared" si="65"/>
        <v>156883</v>
      </c>
      <c r="R371" s="39">
        <f t="shared" si="65"/>
        <v>0</v>
      </c>
      <c r="S371" s="39">
        <f t="shared" si="65"/>
        <v>0</v>
      </c>
      <c r="T371" s="39">
        <f t="shared" si="65"/>
        <v>0</v>
      </c>
      <c r="U371" s="39">
        <f t="shared" si="65"/>
        <v>0</v>
      </c>
      <c r="V371" s="39">
        <f t="shared" si="65"/>
        <v>0</v>
      </c>
      <c r="W371" s="39">
        <f t="shared" si="65"/>
        <v>0</v>
      </c>
      <c r="X371" s="39">
        <f t="shared" si="65"/>
        <v>0</v>
      </c>
      <c r="Y371" s="118">
        <f t="shared" si="58"/>
        <v>0</v>
      </c>
      <c r="Z371" s="39">
        <f t="shared" si="65"/>
        <v>149350.02</v>
      </c>
      <c r="AA371" s="118">
        <f t="shared" si="48"/>
        <v>25649.98000000001</v>
      </c>
      <c r="AB371" s="118"/>
      <c r="AC371" s="24"/>
      <c r="AD371" s="118">
        <f t="shared" si="50"/>
        <v>25649.98000000001</v>
      </c>
    </row>
    <row r="372" spans="1:30" ht="62.25">
      <c r="A372" s="180"/>
      <c r="B372" s="108"/>
      <c r="C372" s="108"/>
      <c r="D372" s="183"/>
      <c r="E372" s="19" t="s">
        <v>836</v>
      </c>
      <c r="F372" s="96">
        <v>2597</v>
      </c>
      <c r="G372" s="51"/>
      <c r="H372" s="52"/>
      <c r="I372" s="53"/>
      <c r="J372" s="58">
        <v>3110</v>
      </c>
      <c r="K372" s="24">
        <v>175000</v>
      </c>
      <c r="L372" s="34"/>
      <c r="M372" s="24"/>
      <c r="N372" s="24"/>
      <c r="O372" s="24">
        <f>1452</f>
        <v>1452</v>
      </c>
      <c r="P372" s="24">
        <f>16665</f>
        <v>16665</v>
      </c>
      <c r="Q372" s="24">
        <f>156883</f>
        <v>156883</v>
      </c>
      <c r="R372" s="24"/>
      <c r="S372" s="24"/>
      <c r="T372" s="24"/>
      <c r="U372" s="24"/>
      <c r="V372" s="24"/>
      <c r="W372" s="24"/>
      <c r="X372" s="24"/>
      <c r="Y372" s="118">
        <f t="shared" si="58"/>
        <v>0</v>
      </c>
      <c r="Z372" s="24">
        <v>149350.02</v>
      </c>
      <c r="AA372" s="118">
        <f t="shared" si="48"/>
        <v>25649.98000000001</v>
      </c>
      <c r="AB372" s="118"/>
      <c r="AC372" s="24"/>
      <c r="AD372" s="118">
        <f t="shared" si="50"/>
        <v>25649.98000000001</v>
      </c>
    </row>
    <row r="373" spans="1:30" ht="21">
      <c r="A373" s="185" t="s">
        <v>222</v>
      </c>
      <c r="B373" s="185" t="s">
        <v>223</v>
      </c>
      <c r="C373" s="185" t="s">
        <v>66</v>
      </c>
      <c r="D373" s="184" t="s">
        <v>224</v>
      </c>
      <c r="E373" s="19"/>
      <c r="F373" s="96"/>
      <c r="G373" s="20"/>
      <c r="H373" s="21"/>
      <c r="I373" s="33"/>
      <c r="J373" s="58"/>
      <c r="K373" s="23">
        <f>SUM(K374:K377)</f>
        <v>1395042</v>
      </c>
      <c r="L373" s="23">
        <f aca="true" t="shared" si="66" ref="L373:X373">SUM(L374:L377)</f>
        <v>400</v>
      </c>
      <c r="M373" s="23">
        <f t="shared" si="66"/>
        <v>0</v>
      </c>
      <c r="N373" s="23">
        <f t="shared" si="66"/>
        <v>0</v>
      </c>
      <c r="O373" s="23">
        <f t="shared" si="66"/>
        <v>490260</v>
      </c>
      <c r="P373" s="23">
        <f t="shared" si="66"/>
        <v>450000</v>
      </c>
      <c r="Q373" s="23">
        <f t="shared" si="66"/>
        <v>454782</v>
      </c>
      <c r="R373" s="23">
        <f t="shared" si="66"/>
        <v>0</v>
      </c>
      <c r="S373" s="23">
        <f t="shared" si="66"/>
        <v>0</v>
      </c>
      <c r="T373" s="23">
        <f t="shared" si="66"/>
        <v>0</v>
      </c>
      <c r="U373" s="23">
        <f t="shared" si="66"/>
        <v>0</v>
      </c>
      <c r="V373" s="23">
        <f t="shared" si="66"/>
        <v>0</v>
      </c>
      <c r="W373" s="23">
        <f t="shared" si="66"/>
        <v>0</v>
      </c>
      <c r="X373" s="23">
        <f t="shared" si="66"/>
        <v>0</v>
      </c>
      <c r="Y373" s="118">
        <f t="shared" si="58"/>
        <v>0</v>
      </c>
      <c r="Z373" s="23">
        <f>SUM(Z374:Z377)</f>
        <v>712596</v>
      </c>
      <c r="AA373" s="118">
        <f t="shared" si="48"/>
        <v>682446</v>
      </c>
      <c r="AB373" s="118"/>
      <c r="AC373" s="24"/>
      <c r="AD373" s="118">
        <f t="shared" si="50"/>
        <v>682446</v>
      </c>
    </row>
    <row r="374" spans="1:30" ht="46.5">
      <c r="A374" s="185"/>
      <c r="B374" s="185"/>
      <c r="C374" s="185"/>
      <c r="D374" s="184"/>
      <c r="E374" s="19" t="s">
        <v>199</v>
      </c>
      <c r="F374" s="96">
        <v>2242</v>
      </c>
      <c r="G374" s="25">
        <v>2020</v>
      </c>
      <c r="H374" s="24">
        <v>540602</v>
      </c>
      <c r="I374" s="37">
        <v>0</v>
      </c>
      <c r="J374" s="58">
        <v>3132</v>
      </c>
      <c r="K374" s="24">
        <f>40602+500000</f>
        <v>540602</v>
      </c>
      <c r="L374" s="34">
        <v>100</v>
      </c>
      <c r="M374" s="24"/>
      <c r="N374" s="24"/>
      <c r="O374" s="24"/>
      <c r="P374" s="24">
        <v>250000</v>
      </c>
      <c r="Q374" s="24">
        <v>290602</v>
      </c>
      <c r="R374" s="24"/>
      <c r="S374" s="24"/>
      <c r="T374" s="24"/>
      <c r="U374" s="24"/>
      <c r="V374" s="24"/>
      <c r="W374" s="24"/>
      <c r="X374" s="24"/>
      <c r="Y374" s="118">
        <f t="shared" si="58"/>
        <v>0</v>
      </c>
      <c r="Z374" s="118">
        <f>163972.58+51555.78+1421.04</f>
        <v>216949.4</v>
      </c>
      <c r="AA374" s="118">
        <f t="shared" si="48"/>
        <v>323652.6</v>
      </c>
      <c r="AB374" s="118"/>
      <c r="AC374" s="24"/>
      <c r="AD374" s="118">
        <f t="shared" si="50"/>
        <v>323652.6</v>
      </c>
    </row>
    <row r="375" spans="1:30" ht="51.75" customHeight="1">
      <c r="A375" s="185"/>
      <c r="B375" s="185"/>
      <c r="C375" s="185"/>
      <c r="D375" s="184"/>
      <c r="E375" s="19" t="s">
        <v>200</v>
      </c>
      <c r="F375" s="96">
        <v>2243</v>
      </c>
      <c r="G375" s="25" t="s">
        <v>201</v>
      </c>
      <c r="H375" s="24">
        <f>K375+3240</f>
        <v>363500</v>
      </c>
      <c r="I375" s="25">
        <v>0.9</v>
      </c>
      <c r="J375" s="58">
        <v>3132</v>
      </c>
      <c r="K375" s="24">
        <v>360260</v>
      </c>
      <c r="L375" s="34">
        <v>100</v>
      </c>
      <c r="M375" s="24"/>
      <c r="N375" s="24"/>
      <c r="O375" s="24">
        <v>360260</v>
      </c>
      <c r="P375" s="24"/>
      <c r="Q375" s="24"/>
      <c r="R375" s="24"/>
      <c r="S375" s="24"/>
      <c r="T375" s="24"/>
      <c r="U375" s="24"/>
      <c r="V375" s="24"/>
      <c r="W375" s="24"/>
      <c r="X375" s="24"/>
      <c r="Y375" s="118">
        <f t="shared" si="58"/>
        <v>0</v>
      </c>
      <c r="Z375" s="24">
        <f>346758</f>
        <v>346758</v>
      </c>
      <c r="AA375" s="118">
        <f t="shared" si="48"/>
        <v>13502</v>
      </c>
      <c r="AB375" s="118"/>
      <c r="AC375" s="24"/>
      <c r="AD375" s="118">
        <f t="shared" si="50"/>
        <v>13502</v>
      </c>
    </row>
    <row r="376" spans="1:30" ht="46.5">
      <c r="A376" s="185"/>
      <c r="B376" s="185"/>
      <c r="C376" s="185"/>
      <c r="D376" s="184"/>
      <c r="E376" s="19" t="s">
        <v>202</v>
      </c>
      <c r="F376" s="96">
        <v>2244</v>
      </c>
      <c r="G376" s="25">
        <v>2020</v>
      </c>
      <c r="H376" s="24">
        <v>130000</v>
      </c>
      <c r="I376" s="37">
        <v>0</v>
      </c>
      <c r="J376" s="58">
        <v>3132</v>
      </c>
      <c r="K376" s="24">
        <v>130000</v>
      </c>
      <c r="L376" s="34">
        <v>100</v>
      </c>
      <c r="M376" s="24"/>
      <c r="N376" s="24"/>
      <c r="O376" s="24">
        <v>130000</v>
      </c>
      <c r="P376" s="24"/>
      <c r="Q376" s="24"/>
      <c r="R376" s="24"/>
      <c r="S376" s="24"/>
      <c r="T376" s="24"/>
      <c r="U376" s="24"/>
      <c r="V376" s="24"/>
      <c r="W376" s="24"/>
      <c r="X376" s="24"/>
      <c r="Y376" s="118">
        <f t="shared" si="58"/>
        <v>0</v>
      </c>
      <c r="Z376" s="24">
        <f>129993.6</f>
        <v>129993.6</v>
      </c>
      <c r="AA376" s="118">
        <f t="shared" si="48"/>
        <v>6.399999999994179</v>
      </c>
      <c r="AB376" s="118"/>
      <c r="AC376" s="24"/>
      <c r="AD376" s="118">
        <f t="shared" si="50"/>
        <v>6.399999999994179</v>
      </c>
    </row>
    <row r="377" spans="1:30" ht="62.25">
      <c r="A377" s="185"/>
      <c r="B377" s="185"/>
      <c r="C377" s="185"/>
      <c r="D377" s="184"/>
      <c r="E377" s="19" t="s">
        <v>203</v>
      </c>
      <c r="F377" s="96">
        <v>2245</v>
      </c>
      <c r="G377" s="25" t="s">
        <v>197</v>
      </c>
      <c r="H377" s="24">
        <f>45398+1454600.09</f>
        <v>1499998.09</v>
      </c>
      <c r="I377" s="25">
        <v>75.6</v>
      </c>
      <c r="J377" s="58">
        <v>3132</v>
      </c>
      <c r="K377" s="24">
        <f>45398+318282+500</f>
        <v>364180</v>
      </c>
      <c r="L377" s="34">
        <v>100</v>
      </c>
      <c r="M377" s="24"/>
      <c r="N377" s="24"/>
      <c r="O377" s="24"/>
      <c r="P377" s="24">
        <v>200000</v>
      </c>
      <c r="Q377" s="24">
        <v>164180</v>
      </c>
      <c r="R377" s="24"/>
      <c r="S377" s="24"/>
      <c r="T377" s="24"/>
      <c r="U377" s="24"/>
      <c r="V377" s="24"/>
      <c r="W377" s="24"/>
      <c r="X377" s="24"/>
      <c r="Y377" s="118">
        <f t="shared" si="58"/>
        <v>0</v>
      </c>
      <c r="Z377" s="24">
        <v>18895</v>
      </c>
      <c r="AA377" s="118">
        <f t="shared" si="48"/>
        <v>345285</v>
      </c>
      <c r="AB377" s="118"/>
      <c r="AC377" s="24"/>
      <c r="AD377" s="118">
        <f t="shared" si="50"/>
        <v>345285</v>
      </c>
    </row>
    <row r="378" spans="1:30" ht="21">
      <c r="A378" s="185" t="s">
        <v>218</v>
      </c>
      <c r="B378" s="185" t="s">
        <v>219</v>
      </c>
      <c r="C378" s="185" t="s">
        <v>66</v>
      </c>
      <c r="D378" s="184" t="s">
        <v>220</v>
      </c>
      <c r="E378" s="19"/>
      <c r="F378" s="96"/>
      <c r="G378" s="20"/>
      <c r="H378" s="21"/>
      <c r="I378" s="33"/>
      <c r="J378" s="58"/>
      <c r="K378" s="23">
        <f>SUM(K379:K379)</f>
        <v>1737242.5</v>
      </c>
      <c r="L378" s="23">
        <f aca="true" t="shared" si="67" ref="L378:Z378">SUM(L379:L379)</f>
        <v>100</v>
      </c>
      <c r="M378" s="23">
        <f t="shared" si="67"/>
        <v>0</v>
      </c>
      <c r="N378" s="23">
        <f t="shared" si="67"/>
        <v>0</v>
      </c>
      <c r="O378" s="23">
        <f t="shared" si="67"/>
        <v>0</v>
      </c>
      <c r="P378" s="23">
        <f t="shared" si="67"/>
        <v>500000</v>
      </c>
      <c r="Q378" s="23">
        <f t="shared" si="67"/>
        <v>500000</v>
      </c>
      <c r="R378" s="23">
        <f t="shared" si="67"/>
        <v>737242.5</v>
      </c>
      <c r="S378" s="23">
        <f t="shared" si="67"/>
        <v>0</v>
      </c>
      <c r="T378" s="23">
        <f t="shared" si="67"/>
        <v>0</v>
      </c>
      <c r="U378" s="23">
        <f t="shared" si="67"/>
        <v>0</v>
      </c>
      <c r="V378" s="23">
        <f t="shared" si="67"/>
        <v>0</v>
      </c>
      <c r="W378" s="23">
        <f t="shared" si="67"/>
        <v>0</v>
      </c>
      <c r="X378" s="23">
        <f t="shared" si="67"/>
        <v>0</v>
      </c>
      <c r="Y378" s="118">
        <f t="shared" si="58"/>
        <v>0</v>
      </c>
      <c r="Z378" s="23">
        <f t="shared" si="67"/>
        <v>895779.56</v>
      </c>
      <c r="AA378" s="118">
        <f t="shared" si="48"/>
        <v>841462.94</v>
      </c>
      <c r="AB378" s="118"/>
      <c r="AC378" s="24"/>
      <c r="AD378" s="118">
        <f t="shared" si="50"/>
        <v>841462.94</v>
      </c>
    </row>
    <row r="379" spans="1:30" ht="46.5">
      <c r="A379" s="185"/>
      <c r="B379" s="185"/>
      <c r="C379" s="185"/>
      <c r="D379" s="184"/>
      <c r="E379" s="19" t="s">
        <v>196</v>
      </c>
      <c r="F379" s="96">
        <v>2246</v>
      </c>
      <c r="G379" s="25" t="s">
        <v>197</v>
      </c>
      <c r="H379" s="24">
        <v>2913421.75</v>
      </c>
      <c r="I379" s="25">
        <v>39.9</v>
      </c>
      <c r="J379" s="58">
        <v>3132</v>
      </c>
      <c r="K379" s="20">
        <v>1737242.5</v>
      </c>
      <c r="L379" s="35">
        <v>100</v>
      </c>
      <c r="M379" s="20"/>
      <c r="N379" s="20"/>
      <c r="O379" s="20"/>
      <c r="P379" s="20">
        <v>500000</v>
      </c>
      <c r="Q379" s="20">
        <v>500000</v>
      </c>
      <c r="R379" s="20">
        <v>737242.5</v>
      </c>
      <c r="S379" s="20"/>
      <c r="T379" s="20"/>
      <c r="U379" s="20"/>
      <c r="V379" s="20"/>
      <c r="W379" s="20"/>
      <c r="X379" s="20"/>
      <c r="Y379" s="118">
        <f t="shared" si="58"/>
        <v>0</v>
      </c>
      <c r="Z379" s="20">
        <f>769528.43+126251.13</f>
        <v>895779.56</v>
      </c>
      <c r="AA379" s="118">
        <f t="shared" si="48"/>
        <v>841462.94</v>
      </c>
      <c r="AB379" s="118"/>
      <c r="AC379" s="24"/>
      <c r="AD379" s="118">
        <f t="shared" si="50"/>
        <v>841462.94</v>
      </c>
    </row>
    <row r="380" spans="1:30" ht="21" hidden="1">
      <c r="A380" s="171" t="s">
        <v>182</v>
      </c>
      <c r="B380" s="171" t="s">
        <v>183</v>
      </c>
      <c r="C380" s="171" t="s">
        <v>184</v>
      </c>
      <c r="D380" s="172" t="s">
        <v>185</v>
      </c>
      <c r="E380" s="26"/>
      <c r="F380" s="97"/>
      <c r="G380" s="25"/>
      <c r="H380" s="24"/>
      <c r="I380" s="37"/>
      <c r="J380" s="58"/>
      <c r="K380" s="39">
        <f>SUM(K381:K382)</f>
        <v>0</v>
      </c>
      <c r="L380" s="34"/>
      <c r="M380" s="131"/>
      <c r="N380" s="131"/>
      <c r="O380" s="131"/>
      <c r="P380" s="22"/>
      <c r="Q380" s="22"/>
      <c r="R380" s="22"/>
      <c r="S380" s="22"/>
      <c r="T380" s="22"/>
      <c r="U380" s="22"/>
      <c r="V380" s="22"/>
      <c r="W380" s="22"/>
      <c r="X380" s="22"/>
      <c r="Y380" s="118">
        <f t="shared" si="58"/>
        <v>0</v>
      </c>
      <c r="Z380" s="22"/>
      <c r="AA380" s="118">
        <f t="shared" si="48"/>
        <v>0</v>
      </c>
      <c r="AB380" s="118"/>
      <c r="AC380" s="24"/>
      <c r="AD380" s="118">
        <f t="shared" si="50"/>
        <v>0</v>
      </c>
    </row>
    <row r="381" spans="1:30" ht="21" hidden="1">
      <c r="A381" s="171"/>
      <c r="B381" s="171"/>
      <c r="C381" s="171"/>
      <c r="D381" s="172"/>
      <c r="E381" s="26"/>
      <c r="F381" s="97"/>
      <c r="G381" s="25"/>
      <c r="H381" s="24"/>
      <c r="I381" s="37"/>
      <c r="J381" s="58"/>
      <c r="K381" s="24"/>
      <c r="L381" s="34"/>
      <c r="M381" s="131"/>
      <c r="N381" s="131"/>
      <c r="O381" s="131"/>
      <c r="P381" s="22"/>
      <c r="Q381" s="22"/>
      <c r="R381" s="22"/>
      <c r="S381" s="22"/>
      <c r="T381" s="22"/>
      <c r="U381" s="22"/>
      <c r="V381" s="22"/>
      <c r="W381" s="22"/>
      <c r="X381" s="22"/>
      <c r="Y381" s="118">
        <f t="shared" si="58"/>
        <v>0</v>
      </c>
      <c r="Z381" s="22"/>
      <c r="AA381" s="118">
        <f t="shared" si="48"/>
        <v>0</v>
      </c>
      <c r="AB381" s="118"/>
      <c r="AC381" s="24"/>
      <c r="AD381" s="118">
        <f t="shared" si="50"/>
        <v>0</v>
      </c>
    </row>
    <row r="382" spans="1:30" ht="21" hidden="1">
      <c r="A382" s="171"/>
      <c r="B382" s="171"/>
      <c r="C382" s="171"/>
      <c r="D382" s="172"/>
      <c r="E382" s="26"/>
      <c r="F382" s="97"/>
      <c r="G382" s="25"/>
      <c r="H382" s="24"/>
      <c r="I382" s="37"/>
      <c r="J382" s="58"/>
      <c r="K382" s="24"/>
      <c r="L382" s="34"/>
      <c r="M382" s="131"/>
      <c r="N382" s="131"/>
      <c r="O382" s="131"/>
      <c r="P382" s="22"/>
      <c r="Q382" s="22"/>
      <c r="R382" s="22"/>
      <c r="S382" s="22"/>
      <c r="T382" s="22"/>
      <c r="U382" s="22"/>
      <c r="V382" s="22"/>
      <c r="W382" s="22"/>
      <c r="X382" s="22"/>
      <c r="Y382" s="118">
        <f t="shared" si="58"/>
        <v>0</v>
      </c>
      <c r="Z382" s="22"/>
      <c r="AA382" s="118">
        <f t="shared" si="48"/>
        <v>0</v>
      </c>
      <c r="AB382" s="118"/>
      <c r="AC382" s="24"/>
      <c r="AD382" s="118">
        <f t="shared" si="50"/>
        <v>0</v>
      </c>
    </row>
    <row r="383" spans="1:30" ht="15" customHeight="1" hidden="1">
      <c r="A383" s="171" t="s">
        <v>178</v>
      </c>
      <c r="B383" s="171" t="s">
        <v>179</v>
      </c>
      <c r="C383" s="171" t="s">
        <v>180</v>
      </c>
      <c r="D383" s="172" t="s">
        <v>181</v>
      </c>
      <c r="E383" s="26"/>
      <c r="F383" s="97"/>
      <c r="G383" s="25"/>
      <c r="H383" s="24"/>
      <c r="I383" s="37"/>
      <c r="J383" s="58"/>
      <c r="K383" s="39">
        <f>SUM(K384:K385)</f>
        <v>0</v>
      </c>
      <c r="L383" s="34"/>
      <c r="M383" s="192"/>
      <c r="N383" s="193"/>
      <c r="O383" s="131"/>
      <c r="P383" s="22"/>
      <c r="Q383" s="22"/>
      <c r="R383" s="22"/>
      <c r="S383" s="22"/>
      <c r="T383" s="22"/>
      <c r="U383" s="22"/>
      <c r="V383" s="22"/>
      <c r="W383" s="22"/>
      <c r="X383" s="22"/>
      <c r="Y383" s="118">
        <f t="shared" si="58"/>
        <v>0</v>
      </c>
      <c r="Z383" s="22"/>
      <c r="AA383" s="118">
        <f t="shared" si="48"/>
        <v>0</v>
      </c>
      <c r="AB383" s="118"/>
      <c r="AC383" s="24"/>
      <c r="AD383" s="118">
        <f t="shared" si="50"/>
        <v>0</v>
      </c>
    </row>
    <row r="384" spans="1:30" ht="21" hidden="1">
      <c r="A384" s="171"/>
      <c r="B384" s="171"/>
      <c r="C384" s="171"/>
      <c r="D384" s="172"/>
      <c r="E384" s="26"/>
      <c r="F384" s="97"/>
      <c r="G384" s="25"/>
      <c r="H384" s="24"/>
      <c r="I384" s="37"/>
      <c r="J384" s="58"/>
      <c r="K384" s="24"/>
      <c r="L384" s="34"/>
      <c r="M384" s="192"/>
      <c r="N384" s="193"/>
      <c r="O384" s="131"/>
      <c r="P384" s="22"/>
      <c r="Q384" s="22"/>
      <c r="R384" s="22"/>
      <c r="S384" s="22"/>
      <c r="T384" s="22"/>
      <c r="U384" s="22"/>
      <c r="V384" s="22"/>
      <c r="W384" s="22"/>
      <c r="X384" s="22"/>
      <c r="Y384" s="118">
        <f t="shared" si="58"/>
        <v>0</v>
      </c>
      <c r="Z384" s="22"/>
      <c r="AA384" s="118">
        <f t="shared" si="48"/>
        <v>0</v>
      </c>
      <c r="AB384" s="118"/>
      <c r="AC384" s="24"/>
      <c r="AD384" s="118">
        <f t="shared" si="50"/>
        <v>0</v>
      </c>
    </row>
    <row r="385" spans="1:30" ht="21" hidden="1">
      <c r="A385" s="171"/>
      <c r="B385" s="171"/>
      <c r="C385" s="171"/>
      <c r="D385" s="172"/>
      <c r="E385" s="26"/>
      <c r="F385" s="97"/>
      <c r="G385" s="25"/>
      <c r="H385" s="24"/>
      <c r="I385" s="37"/>
      <c r="J385" s="58"/>
      <c r="K385" s="24"/>
      <c r="L385" s="34"/>
      <c r="M385" s="192"/>
      <c r="N385" s="193"/>
      <c r="O385" s="131"/>
      <c r="P385" s="22"/>
      <c r="Q385" s="22"/>
      <c r="R385" s="22"/>
      <c r="S385" s="22"/>
      <c r="T385" s="22"/>
      <c r="U385" s="22"/>
      <c r="V385" s="22"/>
      <c r="W385" s="22"/>
      <c r="X385" s="22"/>
      <c r="Y385" s="118">
        <f t="shared" si="58"/>
        <v>0</v>
      </c>
      <c r="Z385" s="22"/>
      <c r="AA385" s="118">
        <f t="shared" si="48"/>
        <v>0</v>
      </c>
      <c r="AB385" s="118"/>
      <c r="AC385" s="24"/>
      <c r="AD385" s="118">
        <f t="shared" si="50"/>
        <v>0</v>
      </c>
    </row>
    <row r="386" spans="1:30" ht="20.25" hidden="1">
      <c r="A386" s="116" t="s">
        <v>186</v>
      </c>
      <c r="B386" s="116"/>
      <c r="C386" s="116"/>
      <c r="D386" s="117" t="s">
        <v>189</v>
      </c>
      <c r="E386" s="112"/>
      <c r="F386" s="98"/>
      <c r="G386" s="112"/>
      <c r="H386" s="112"/>
      <c r="I386" s="42"/>
      <c r="J386" s="58"/>
      <c r="K386" s="39">
        <f>K387</f>
        <v>0</v>
      </c>
      <c r="L386" s="43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118">
        <f t="shared" si="58"/>
        <v>0</v>
      </c>
      <c r="Z386" s="22"/>
      <c r="AA386" s="118">
        <f t="shared" si="48"/>
        <v>0</v>
      </c>
      <c r="AB386" s="118"/>
      <c r="AC386" s="24"/>
      <c r="AD386" s="118">
        <f t="shared" si="50"/>
        <v>0</v>
      </c>
    </row>
    <row r="387" spans="1:30" ht="20.25" hidden="1">
      <c r="A387" s="116" t="s">
        <v>187</v>
      </c>
      <c r="B387" s="116"/>
      <c r="C387" s="116"/>
      <c r="D387" s="117" t="s">
        <v>189</v>
      </c>
      <c r="E387" s="112"/>
      <c r="F387" s="98"/>
      <c r="G387" s="112"/>
      <c r="H387" s="112"/>
      <c r="I387" s="42"/>
      <c r="J387" s="58"/>
      <c r="K387" s="39">
        <f>K388</f>
        <v>0</v>
      </c>
      <c r="L387" s="43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118">
        <f t="shared" si="58"/>
        <v>0</v>
      </c>
      <c r="Z387" s="22"/>
      <c r="AA387" s="118">
        <f t="shared" si="48"/>
        <v>0</v>
      </c>
      <c r="AB387" s="118"/>
      <c r="AC387" s="24"/>
      <c r="AD387" s="118">
        <f t="shared" si="50"/>
        <v>0</v>
      </c>
    </row>
    <row r="388" spans="1:30" s="31" customFormat="1" ht="32.25" customHeight="1" hidden="1">
      <c r="A388" s="171" t="s">
        <v>188</v>
      </c>
      <c r="B388" s="171" t="s">
        <v>29</v>
      </c>
      <c r="C388" s="171" t="s">
        <v>30</v>
      </c>
      <c r="D388" s="172" t="s">
        <v>31</v>
      </c>
      <c r="E388" s="112"/>
      <c r="F388" s="98"/>
      <c r="G388" s="112"/>
      <c r="H388" s="112"/>
      <c r="I388" s="42"/>
      <c r="J388" s="58"/>
      <c r="K388" s="39">
        <f>K389</f>
        <v>0</v>
      </c>
      <c r="L388" s="43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118">
        <f t="shared" si="58"/>
        <v>0</v>
      </c>
      <c r="Z388" s="22"/>
      <c r="AA388" s="118">
        <f t="shared" si="48"/>
        <v>0</v>
      </c>
      <c r="AB388" s="118"/>
      <c r="AC388" s="24"/>
      <c r="AD388" s="118">
        <f t="shared" si="50"/>
        <v>0</v>
      </c>
    </row>
    <row r="389" spans="1:30" s="31" customFormat="1" ht="32.25" customHeight="1" hidden="1">
      <c r="A389" s="171"/>
      <c r="B389" s="171"/>
      <c r="C389" s="171"/>
      <c r="D389" s="172"/>
      <c r="E389" s="26"/>
      <c r="F389" s="97"/>
      <c r="G389" s="25"/>
      <c r="H389" s="25"/>
      <c r="I389" s="37"/>
      <c r="J389" s="58"/>
      <c r="K389" s="24"/>
      <c r="L389" s="43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118">
        <f t="shared" si="58"/>
        <v>0</v>
      </c>
      <c r="Z389" s="22"/>
      <c r="AA389" s="118">
        <f t="shared" si="48"/>
        <v>0</v>
      </c>
      <c r="AB389" s="118"/>
      <c r="AC389" s="24"/>
      <c r="AD389" s="118">
        <f t="shared" si="50"/>
        <v>0</v>
      </c>
    </row>
    <row r="390" spans="1:30" ht="46.5">
      <c r="A390" s="114" t="s">
        <v>97</v>
      </c>
      <c r="B390" s="119"/>
      <c r="C390" s="120"/>
      <c r="D390" s="112" t="s">
        <v>98</v>
      </c>
      <c r="E390" s="112"/>
      <c r="F390" s="98"/>
      <c r="G390" s="112"/>
      <c r="H390" s="112"/>
      <c r="I390" s="42"/>
      <c r="J390" s="58"/>
      <c r="K390" s="39">
        <f>K391</f>
        <v>169450600.57999998</v>
      </c>
      <c r="L390" s="39">
        <f aca="true" t="shared" si="68" ref="L390:Z390">L391</f>
        <v>21520.81097299313</v>
      </c>
      <c r="M390" s="39">
        <f t="shared" si="68"/>
        <v>0</v>
      </c>
      <c r="N390" s="39">
        <f t="shared" si="68"/>
        <v>14471822.870000001</v>
      </c>
      <c r="O390" s="39">
        <f t="shared" si="68"/>
        <v>7670332.399999999</v>
      </c>
      <c r="P390" s="39">
        <f t="shared" si="68"/>
        <v>14024865.370000001</v>
      </c>
      <c r="Q390" s="39">
        <f t="shared" si="68"/>
        <v>3325847.359999999</v>
      </c>
      <c r="R390" s="39">
        <f t="shared" si="68"/>
        <v>13089763.819999998</v>
      </c>
      <c r="S390" s="39">
        <f t="shared" si="68"/>
        <v>23800327.009999998</v>
      </c>
      <c r="T390" s="39">
        <f t="shared" si="68"/>
        <v>19172852.47</v>
      </c>
      <c r="U390" s="39">
        <f t="shared" si="68"/>
        <v>9134364.059999999</v>
      </c>
      <c r="V390" s="39">
        <f t="shared" si="68"/>
        <v>17905340.88</v>
      </c>
      <c r="W390" s="39">
        <f t="shared" si="68"/>
        <v>32117173.869999997</v>
      </c>
      <c r="X390" s="39">
        <f t="shared" si="68"/>
        <v>14737910.47</v>
      </c>
      <c r="Y390" s="118">
        <f t="shared" si="58"/>
        <v>-2.421438694000244E-08</v>
      </c>
      <c r="Z390" s="39">
        <f t="shared" si="68"/>
        <v>71570038.17999999</v>
      </c>
      <c r="AA390" s="118">
        <f t="shared" si="48"/>
        <v>4812920.650000006</v>
      </c>
      <c r="AB390" s="118"/>
      <c r="AC390" s="24"/>
      <c r="AD390" s="118">
        <f t="shared" si="50"/>
        <v>97880562.39999999</v>
      </c>
    </row>
    <row r="391" spans="1:30" ht="46.5">
      <c r="A391" s="114" t="s">
        <v>99</v>
      </c>
      <c r="B391" s="119"/>
      <c r="C391" s="120"/>
      <c r="D391" s="112" t="s">
        <v>98</v>
      </c>
      <c r="E391" s="112"/>
      <c r="F391" s="98"/>
      <c r="G391" s="112"/>
      <c r="H391" s="112"/>
      <c r="I391" s="42"/>
      <c r="J391" s="58"/>
      <c r="K391" s="39">
        <f aca="true" t="shared" si="69" ref="K391:Z391">K392+K394+K413+K479+K538+K404+K402+K477+K664+K662</f>
        <v>169450600.57999998</v>
      </c>
      <c r="L391" s="39">
        <f t="shared" si="69"/>
        <v>21520.81097299313</v>
      </c>
      <c r="M391" s="39">
        <f t="shared" si="69"/>
        <v>0</v>
      </c>
      <c r="N391" s="39">
        <f t="shared" si="69"/>
        <v>14471822.870000001</v>
      </c>
      <c r="O391" s="39">
        <f t="shared" si="69"/>
        <v>7670332.399999999</v>
      </c>
      <c r="P391" s="39">
        <f t="shared" si="69"/>
        <v>14024865.370000001</v>
      </c>
      <c r="Q391" s="39">
        <f t="shared" si="69"/>
        <v>3325847.359999999</v>
      </c>
      <c r="R391" s="39">
        <f t="shared" si="69"/>
        <v>13089763.819999998</v>
      </c>
      <c r="S391" s="39">
        <f t="shared" si="69"/>
        <v>23800327.009999998</v>
      </c>
      <c r="T391" s="39">
        <f t="shared" si="69"/>
        <v>19172852.47</v>
      </c>
      <c r="U391" s="39">
        <f t="shared" si="69"/>
        <v>9134364.059999999</v>
      </c>
      <c r="V391" s="39">
        <f t="shared" si="69"/>
        <v>17905340.88</v>
      </c>
      <c r="W391" s="39">
        <f t="shared" si="69"/>
        <v>32117173.869999997</v>
      </c>
      <c r="X391" s="39">
        <f t="shared" si="69"/>
        <v>14737910.47</v>
      </c>
      <c r="Y391" s="118">
        <f t="shared" si="58"/>
        <v>-2.421438694000244E-08</v>
      </c>
      <c r="Z391" s="39">
        <f t="shared" si="69"/>
        <v>71570038.17999999</v>
      </c>
      <c r="AA391" s="118">
        <f t="shared" si="48"/>
        <v>4812920.650000006</v>
      </c>
      <c r="AB391" s="118"/>
      <c r="AC391" s="24"/>
      <c r="AD391" s="118">
        <f t="shared" si="50"/>
        <v>97880562.39999999</v>
      </c>
    </row>
    <row r="392" spans="1:30" ht="21" hidden="1">
      <c r="A392" s="194" t="s">
        <v>100</v>
      </c>
      <c r="B392" s="195" t="s">
        <v>29</v>
      </c>
      <c r="C392" s="195" t="s">
        <v>30</v>
      </c>
      <c r="D392" s="196" t="s">
        <v>31</v>
      </c>
      <c r="E392" s="28"/>
      <c r="F392" s="99"/>
      <c r="G392" s="20"/>
      <c r="H392" s="21"/>
      <c r="I392" s="33"/>
      <c r="J392" s="58"/>
      <c r="K392" s="23">
        <f>K393</f>
        <v>0</v>
      </c>
      <c r="L392" s="23">
        <f aca="true" t="shared" si="70" ref="L392:Z392">L393</f>
        <v>0</v>
      </c>
      <c r="M392" s="23">
        <f t="shared" si="70"/>
        <v>0</v>
      </c>
      <c r="N392" s="23">
        <f t="shared" si="70"/>
        <v>0</v>
      </c>
      <c r="O392" s="23">
        <f t="shared" si="70"/>
        <v>0</v>
      </c>
      <c r="P392" s="23">
        <f t="shared" si="70"/>
        <v>0</v>
      </c>
      <c r="Q392" s="23">
        <f t="shared" si="70"/>
        <v>0</v>
      </c>
      <c r="R392" s="23">
        <f t="shared" si="70"/>
        <v>0</v>
      </c>
      <c r="S392" s="23">
        <f t="shared" si="70"/>
        <v>0</v>
      </c>
      <c r="T392" s="23">
        <f t="shared" si="70"/>
        <v>0</v>
      </c>
      <c r="U392" s="23">
        <f t="shared" si="70"/>
        <v>0</v>
      </c>
      <c r="V392" s="23">
        <f t="shared" si="70"/>
        <v>0</v>
      </c>
      <c r="W392" s="23">
        <f t="shared" si="70"/>
        <v>0</v>
      </c>
      <c r="X392" s="23">
        <f t="shared" si="70"/>
        <v>0</v>
      </c>
      <c r="Y392" s="118">
        <f t="shared" si="58"/>
        <v>0</v>
      </c>
      <c r="Z392" s="23">
        <f t="shared" si="70"/>
        <v>0</v>
      </c>
      <c r="AA392" s="118">
        <f t="shared" si="48"/>
        <v>0</v>
      </c>
      <c r="AB392" s="118"/>
      <c r="AC392" s="24"/>
      <c r="AD392" s="118">
        <f t="shared" si="50"/>
        <v>0</v>
      </c>
    </row>
    <row r="393" spans="1:30" ht="21" hidden="1">
      <c r="A393" s="194"/>
      <c r="B393" s="195"/>
      <c r="C393" s="195"/>
      <c r="D393" s="196"/>
      <c r="E393" s="28"/>
      <c r="F393" s="99"/>
      <c r="G393" s="20"/>
      <c r="H393" s="20"/>
      <c r="I393" s="20"/>
      <c r="J393" s="58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118">
        <f t="shared" si="58"/>
        <v>0</v>
      </c>
      <c r="Z393" s="20"/>
      <c r="AA393" s="118">
        <f t="shared" si="48"/>
        <v>0</v>
      </c>
      <c r="AB393" s="118"/>
      <c r="AC393" s="24"/>
      <c r="AD393" s="118">
        <f t="shared" si="50"/>
        <v>0</v>
      </c>
    </row>
    <row r="394" spans="1:30" ht="21">
      <c r="A394" s="184" t="s">
        <v>101</v>
      </c>
      <c r="B394" s="184">
        <v>6011</v>
      </c>
      <c r="C394" s="184" t="s">
        <v>102</v>
      </c>
      <c r="D394" s="184" t="s">
        <v>103</v>
      </c>
      <c r="E394" s="19"/>
      <c r="F394" s="96"/>
      <c r="G394" s="20"/>
      <c r="H394" s="21"/>
      <c r="I394" s="33"/>
      <c r="J394" s="58"/>
      <c r="K394" s="23">
        <f>K395+K401</f>
        <v>26938000</v>
      </c>
      <c r="L394" s="23">
        <f aca="true" t="shared" si="71" ref="L394:X394">L395+L401</f>
        <v>400</v>
      </c>
      <c r="M394" s="23">
        <f t="shared" si="71"/>
        <v>0</v>
      </c>
      <c r="N394" s="23">
        <f t="shared" si="71"/>
        <v>0</v>
      </c>
      <c r="O394" s="23">
        <f t="shared" si="71"/>
        <v>287343.02</v>
      </c>
      <c r="P394" s="23">
        <f>P395+P401</f>
        <v>245000</v>
      </c>
      <c r="Q394" s="23">
        <f t="shared" si="71"/>
        <v>-87343.02000000002</v>
      </c>
      <c r="R394" s="23">
        <f t="shared" si="71"/>
        <v>800000</v>
      </c>
      <c r="S394" s="23">
        <f t="shared" si="71"/>
        <v>129.64999999999418</v>
      </c>
      <c r="T394" s="23">
        <f t="shared" si="71"/>
        <v>164730.20999999996</v>
      </c>
      <c r="U394" s="23">
        <f t="shared" si="71"/>
        <v>1069411</v>
      </c>
      <c r="V394" s="23">
        <f t="shared" si="71"/>
        <v>3958394.55</v>
      </c>
      <c r="W394" s="23">
        <f t="shared" si="71"/>
        <v>11650431.52</v>
      </c>
      <c r="X394" s="23">
        <f t="shared" si="71"/>
        <v>8849903.07</v>
      </c>
      <c r="Y394" s="118">
        <f t="shared" si="58"/>
        <v>0</v>
      </c>
      <c r="Z394" s="23">
        <f>Z395+Z401</f>
        <v>239416.41</v>
      </c>
      <c r="AA394" s="118">
        <f t="shared" si="48"/>
        <v>1005713.2399999999</v>
      </c>
      <c r="AB394" s="118"/>
      <c r="AC394" s="24"/>
      <c r="AD394" s="118">
        <f t="shared" si="50"/>
        <v>26698583.59</v>
      </c>
    </row>
    <row r="395" spans="1:30" ht="78">
      <c r="A395" s="184"/>
      <c r="B395" s="184"/>
      <c r="C395" s="184"/>
      <c r="D395" s="184"/>
      <c r="E395" s="19" t="s">
        <v>879</v>
      </c>
      <c r="F395" s="96">
        <v>2614</v>
      </c>
      <c r="G395" s="20"/>
      <c r="H395" s="21"/>
      <c r="I395" s="33"/>
      <c r="J395" s="58">
        <v>3131</v>
      </c>
      <c r="K395" s="20">
        <f>K396+K397+K398+K400+K399+1000000</f>
        <v>1938000</v>
      </c>
      <c r="L395" s="20">
        <f aca="true" t="shared" si="72" ref="L395:Z395">L396+L397+L398+L400+L399</f>
        <v>400</v>
      </c>
      <c r="M395" s="20">
        <f t="shared" si="72"/>
        <v>0</v>
      </c>
      <c r="N395" s="20">
        <f t="shared" si="72"/>
        <v>0</v>
      </c>
      <c r="O395" s="20">
        <f t="shared" si="72"/>
        <v>0</v>
      </c>
      <c r="P395" s="20">
        <f t="shared" si="72"/>
        <v>245000</v>
      </c>
      <c r="Q395" s="20">
        <f t="shared" si="72"/>
        <v>0</v>
      </c>
      <c r="R395" s="20">
        <f>R396+R397+R398+R400+R399+1000000</f>
        <v>1000000</v>
      </c>
      <c r="S395" s="20">
        <f t="shared" si="72"/>
        <v>129.64999999999418</v>
      </c>
      <c r="T395" s="20">
        <f t="shared" si="72"/>
        <v>136000</v>
      </c>
      <c r="U395" s="20">
        <f t="shared" si="72"/>
        <v>0</v>
      </c>
      <c r="V395" s="20">
        <f t="shared" si="72"/>
        <v>33080.26</v>
      </c>
      <c r="W395" s="20">
        <f t="shared" si="72"/>
        <v>75790.09</v>
      </c>
      <c r="X395" s="20">
        <f t="shared" si="72"/>
        <v>448000</v>
      </c>
      <c r="Y395" s="118">
        <f t="shared" si="58"/>
        <v>0</v>
      </c>
      <c r="Z395" s="20">
        <f t="shared" si="72"/>
        <v>239416.41</v>
      </c>
      <c r="AA395" s="118">
        <f t="shared" si="48"/>
        <v>1005713.2399999999</v>
      </c>
      <c r="AB395" s="118"/>
      <c r="AC395" s="24"/>
      <c r="AD395" s="118">
        <f t="shared" si="50"/>
        <v>1698583.59</v>
      </c>
    </row>
    <row r="396" spans="1:30" ht="1.5" customHeight="1">
      <c r="A396" s="184"/>
      <c r="B396" s="184"/>
      <c r="C396" s="184"/>
      <c r="D396" s="184"/>
      <c r="E396" s="19" t="s">
        <v>239</v>
      </c>
      <c r="F396" s="96">
        <v>2247</v>
      </c>
      <c r="G396" s="25">
        <v>2020</v>
      </c>
      <c r="H396" s="20">
        <v>430000</v>
      </c>
      <c r="I396" s="20">
        <v>0</v>
      </c>
      <c r="J396" s="58"/>
      <c r="K396" s="20">
        <f>430000-430000</f>
        <v>0</v>
      </c>
      <c r="L396" s="50">
        <v>100</v>
      </c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>
        <f>430000-430000</f>
        <v>0</v>
      </c>
      <c r="Y396" s="118">
        <f t="shared" si="58"/>
        <v>0</v>
      </c>
      <c r="Z396" s="24"/>
      <c r="AA396" s="118">
        <f t="shared" si="48"/>
        <v>0</v>
      </c>
      <c r="AB396" s="118"/>
      <c r="AC396" s="24"/>
      <c r="AD396" s="118">
        <f t="shared" si="50"/>
        <v>0</v>
      </c>
    </row>
    <row r="397" spans="1:30" ht="30.75">
      <c r="A397" s="184"/>
      <c r="B397" s="184"/>
      <c r="C397" s="184"/>
      <c r="D397" s="184"/>
      <c r="E397" s="19" t="s">
        <v>867</v>
      </c>
      <c r="F397" s="96">
        <v>2248</v>
      </c>
      <c r="G397" s="20" t="s">
        <v>197</v>
      </c>
      <c r="H397" s="20">
        <v>906942</v>
      </c>
      <c r="I397" s="20">
        <f>(K397/H397*100-100)*-1</f>
        <v>56.66757080386618</v>
      </c>
      <c r="J397" s="58">
        <v>3131</v>
      </c>
      <c r="K397" s="20">
        <v>393000</v>
      </c>
      <c r="L397" s="50">
        <v>100</v>
      </c>
      <c r="M397" s="20"/>
      <c r="N397" s="20"/>
      <c r="O397" s="20"/>
      <c r="P397" s="20">
        <f>393000-245000-148000</f>
        <v>0</v>
      </c>
      <c r="Q397" s="20"/>
      <c r="R397" s="20"/>
      <c r="S397" s="20">
        <f>245000-108870.35-136000</f>
        <v>129.64999999999418</v>
      </c>
      <c r="T397" s="20">
        <v>136000</v>
      </c>
      <c r="U397" s="20"/>
      <c r="V397" s="20">
        <f>33080.26</f>
        <v>33080.26</v>
      </c>
      <c r="W397" s="20">
        <f>75790.09</f>
        <v>75790.09</v>
      </c>
      <c r="X397" s="20">
        <f>148000</f>
        <v>148000</v>
      </c>
      <c r="Y397" s="118">
        <f t="shared" si="58"/>
        <v>0</v>
      </c>
      <c r="Z397" s="24"/>
      <c r="AA397" s="118">
        <f t="shared" si="48"/>
        <v>129.64999999999418</v>
      </c>
      <c r="AB397" s="118"/>
      <c r="AC397" s="24"/>
      <c r="AD397" s="118">
        <f t="shared" si="50"/>
        <v>393000</v>
      </c>
    </row>
    <row r="398" spans="1:30" ht="46.5">
      <c r="A398" s="184"/>
      <c r="B398" s="184"/>
      <c r="C398" s="184"/>
      <c r="D398" s="184"/>
      <c r="E398" s="19" t="s">
        <v>866</v>
      </c>
      <c r="F398" s="96">
        <v>2249</v>
      </c>
      <c r="G398" s="25">
        <v>2020</v>
      </c>
      <c r="H398" s="20">
        <v>300000</v>
      </c>
      <c r="I398" s="20">
        <v>0</v>
      </c>
      <c r="J398" s="58">
        <v>3131</v>
      </c>
      <c r="K398" s="20">
        <v>300000</v>
      </c>
      <c r="L398" s="50">
        <v>100</v>
      </c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>
        <v>300000</v>
      </c>
      <c r="Y398" s="118">
        <f t="shared" si="58"/>
        <v>0</v>
      </c>
      <c r="Z398" s="24"/>
      <c r="AA398" s="118">
        <f t="shared" si="48"/>
        <v>0</v>
      </c>
      <c r="AB398" s="118"/>
      <c r="AC398" s="24"/>
      <c r="AD398" s="118">
        <f t="shared" si="50"/>
        <v>300000</v>
      </c>
    </row>
    <row r="399" spans="1:30" ht="30.75">
      <c r="A399" s="184"/>
      <c r="B399" s="184"/>
      <c r="C399" s="184"/>
      <c r="D399" s="184"/>
      <c r="E399" s="19" t="s">
        <v>841</v>
      </c>
      <c r="F399" s="96">
        <v>2602</v>
      </c>
      <c r="G399" s="25"/>
      <c r="H399" s="20"/>
      <c r="I399" s="20"/>
      <c r="J399" s="58">
        <v>3131</v>
      </c>
      <c r="K399" s="20">
        <v>245000</v>
      </c>
      <c r="L399" s="50"/>
      <c r="M399" s="20"/>
      <c r="N399" s="20"/>
      <c r="O399" s="20"/>
      <c r="P399" s="20">
        <f>245000</f>
        <v>245000</v>
      </c>
      <c r="Q399" s="20"/>
      <c r="R399" s="20"/>
      <c r="S399" s="20">
        <f>245000-245000</f>
        <v>0</v>
      </c>
      <c r="T399" s="20"/>
      <c r="U399" s="20"/>
      <c r="V399" s="20"/>
      <c r="W399" s="20"/>
      <c r="X399" s="20"/>
      <c r="Y399" s="118">
        <f t="shared" si="58"/>
        <v>0</v>
      </c>
      <c r="Z399" s="24">
        <f>233803.41+5613</f>
        <v>239416.41</v>
      </c>
      <c r="AA399" s="118">
        <f t="shared" si="48"/>
        <v>5583.5899999999965</v>
      </c>
      <c r="AB399" s="118"/>
      <c r="AC399" s="24"/>
      <c r="AD399" s="118">
        <f t="shared" si="50"/>
        <v>5583.5899999999965</v>
      </c>
    </row>
    <row r="400" spans="1:30" ht="30.75" hidden="1">
      <c r="A400" s="184"/>
      <c r="B400" s="184"/>
      <c r="C400" s="184"/>
      <c r="D400" s="184"/>
      <c r="E400" s="19" t="s">
        <v>685</v>
      </c>
      <c r="F400" s="96">
        <v>2250</v>
      </c>
      <c r="G400" s="25">
        <v>2020</v>
      </c>
      <c r="H400" s="20">
        <v>1325000</v>
      </c>
      <c r="I400" s="20">
        <v>0</v>
      </c>
      <c r="J400" s="58"/>
      <c r="K400" s="20">
        <f>1325000-1325000</f>
        <v>0</v>
      </c>
      <c r="L400" s="50">
        <v>100</v>
      </c>
      <c r="M400" s="20"/>
      <c r="N400" s="20"/>
      <c r="O400" s="20"/>
      <c r="P400" s="20">
        <f>80000-80000</f>
        <v>0</v>
      </c>
      <c r="Q400" s="20"/>
      <c r="R400" s="20"/>
      <c r="S400" s="20">
        <f>400000-400000</f>
        <v>0</v>
      </c>
      <c r="T400" s="20">
        <f>400000-400000</f>
        <v>0</v>
      </c>
      <c r="U400" s="20">
        <f>445000-445000</f>
        <v>0</v>
      </c>
      <c r="V400" s="20"/>
      <c r="W400" s="20"/>
      <c r="X400" s="20"/>
      <c r="Y400" s="118">
        <f t="shared" si="58"/>
        <v>0</v>
      </c>
      <c r="Z400" s="24"/>
      <c r="AA400" s="118">
        <f t="shared" si="48"/>
        <v>0</v>
      </c>
      <c r="AB400" s="118"/>
      <c r="AC400" s="24"/>
      <c r="AD400" s="118">
        <f t="shared" si="50"/>
        <v>0</v>
      </c>
    </row>
    <row r="401" spans="1:30" ht="78">
      <c r="A401" s="184"/>
      <c r="B401" s="184"/>
      <c r="C401" s="184"/>
      <c r="D401" s="184"/>
      <c r="E401" s="63" t="s">
        <v>641</v>
      </c>
      <c r="F401" s="97">
        <v>2251</v>
      </c>
      <c r="G401" s="20"/>
      <c r="H401" s="20"/>
      <c r="I401" s="50"/>
      <c r="J401" s="58">
        <v>3131</v>
      </c>
      <c r="K401" s="20">
        <f>15000000+10000000</f>
        <v>25000000</v>
      </c>
      <c r="L401" s="50"/>
      <c r="M401" s="20"/>
      <c r="N401" s="20"/>
      <c r="O401" s="20">
        <f>287343.02</f>
        <v>287343.02</v>
      </c>
      <c r="P401" s="20">
        <f>1000000-1000000</f>
        <v>0</v>
      </c>
      <c r="Q401" s="20">
        <f>1000000-287343.02-800000</f>
        <v>-87343.02000000002</v>
      </c>
      <c r="R401" s="20">
        <v>-200000</v>
      </c>
      <c r="S401" s="20">
        <f>4000000-844445.87-3155554.13+200000-200000</f>
        <v>0</v>
      </c>
      <c r="T401" s="20">
        <f>2742147+1000000+844445.87-657862.66-2000000-1900000</f>
        <v>28730.209999999963</v>
      </c>
      <c r="U401" s="20">
        <f>2500000+769411-2200000</f>
        <v>1069411</v>
      </c>
      <c r="V401" s="20">
        <f>1900000+800000+31727.06+200000+993587.23</f>
        <v>3925314.29</v>
      </c>
      <c r="W401" s="20">
        <f>5700000+3010682.73+2863958.7</f>
        <v>11574641.43</v>
      </c>
      <c r="X401" s="20">
        <f>6157853+1596+2000000+242454.07</f>
        <v>8401903.07</v>
      </c>
      <c r="Y401" s="118">
        <f t="shared" si="58"/>
        <v>0</v>
      </c>
      <c r="Z401" s="24"/>
      <c r="AA401" s="118">
        <f t="shared" si="48"/>
        <v>0</v>
      </c>
      <c r="AB401" s="118"/>
      <c r="AC401" s="24"/>
      <c r="AD401" s="118">
        <f t="shared" si="50"/>
        <v>25000000</v>
      </c>
    </row>
    <row r="402" spans="1:30" ht="21">
      <c r="A402" s="184">
        <v>1216015</v>
      </c>
      <c r="B402" s="184">
        <v>6015</v>
      </c>
      <c r="C402" s="185" t="s">
        <v>102</v>
      </c>
      <c r="D402" s="184" t="s">
        <v>104</v>
      </c>
      <c r="E402" s="19"/>
      <c r="F402" s="96"/>
      <c r="G402" s="20"/>
      <c r="H402" s="21"/>
      <c r="I402" s="50"/>
      <c r="J402" s="58"/>
      <c r="K402" s="23">
        <f>K403</f>
        <v>3800000</v>
      </c>
      <c r="L402" s="23">
        <f aca="true" t="shared" si="73" ref="L402:Z402">L403</f>
        <v>0</v>
      </c>
      <c r="M402" s="23">
        <f t="shared" si="73"/>
        <v>0</v>
      </c>
      <c r="N402" s="23">
        <f t="shared" si="73"/>
        <v>0</v>
      </c>
      <c r="O402" s="23">
        <f t="shared" si="73"/>
        <v>0</v>
      </c>
      <c r="P402" s="23">
        <f t="shared" si="73"/>
        <v>0</v>
      </c>
      <c r="Q402" s="23">
        <f t="shared" si="73"/>
        <v>0</v>
      </c>
      <c r="R402" s="23">
        <f t="shared" si="73"/>
        <v>2147</v>
      </c>
      <c r="S402" s="23">
        <f t="shared" si="73"/>
        <v>-1345</v>
      </c>
      <c r="T402" s="23">
        <f t="shared" si="73"/>
        <v>2306306</v>
      </c>
      <c r="U402" s="23">
        <f t="shared" si="73"/>
        <v>0</v>
      </c>
      <c r="V402" s="23">
        <f t="shared" si="73"/>
        <v>399575</v>
      </c>
      <c r="W402" s="23">
        <f t="shared" si="73"/>
        <v>1093317</v>
      </c>
      <c r="X402" s="23">
        <f t="shared" si="73"/>
        <v>0</v>
      </c>
      <c r="Y402" s="118">
        <f t="shared" si="58"/>
        <v>0</v>
      </c>
      <c r="Z402" s="23">
        <f t="shared" si="73"/>
        <v>0</v>
      </c>
      <c r="AA402" s="118">
        <f t="shared" si="48"/>
        <v>802</v>
      </c>
      <c r="AB402" s="118"/>
      <c r="AC402" s="24"/>
      <c r="AD402" s="118">
        <f t="shared" si="50"/>
        <v>3800000</v>
      </c>
    </row>
    <row r="403" spans="1:30" ht="78">
      <c r="A403" s="184"/>
      <c r="B403" s="184"/>
      <c r="C403" s="185"/>
      <c r="D403" s="184"/>
      <c r="E403" s="19" t="s">
        <v>642</v>
      </c>
      <c r="F403" s="96">
        <v>2252</v>
      </c>
      <c r="G403" s="20"/>
      <c r="H403" s="21"/>
      <c r="I403" s="50"/>
      <c r="J403" s="58">
        <v>3131</v>
      </c>
      <c r="K403" s="20">
        <f>5000000-1200000</f>
        <v>3800000</v>
      </c>
      <c r="L403" s="35"/>
      <c r="M403" s="20"/>
      <c r="N403" s="20"/>
      <c r="O403" s="20"/>
      <c r="P403" s="20"/>
      <c r="Q403" s="20">
        <f>750000-750000</f>
        <v>0</v>
      </c>
      <c r="R403" s="20">
        <f>1242147-1000000-240000</f>
        <v>2147</v>
      </c>
      <c r="S403" s="20">
        <f>3000000-200000-2417345+240000-624000</f>
        <v>-1345</v>
      </c>
      <c r="T403" s="20">
        <f>7853+2193453+505000-400000</f>
        <v>2306306</v>
      </c>
      <c r="U403" s="20"/>
      <c r="V403" s="20">
        <f>280575+119000</f>
        <v>399575</v>
      </c>
      <c r="W403" s="20">
        <f>469425+223892+400000</f>
        <v>1093317</v>
      </c>
      <c r="X403" s="20"/>
      <c r="Y403" s="118">
        <f t="shared" si="58"/>
        <v>0</v>
      </c>
      <c r="Z403" s="20"/>
      <c r="AA403" s="118">
        <f aca="true" t="shared" si="74" ref="AA403:AA466">M403+N403+O403+P403+Q403+R403+S403-Z403</f>
        <v>802</v>
      </c>
      <c r="AB403" s="118"/>
      <c r="AC403" s="24"/>
      <c r="AD403" s="118">
        <f t="shared" si="50"/>
        <v>3800000</v>
      </c>
    </row>
    <row r="404" spans="1:30" ht="21">
      <c r="A404" s="184">
        <v>1216030</v>
      </c>
      <c r="B404" s="184">
        <v>6030</v>
      </c>
      <c r="C404" s="185" t="s">
        <v>102</v>
      </c>
      <c r="D404" s="184" t="s">
        <v>105</v>
      </c>
      <c r="E404" s="19"/>
      <c r="F404" s="96"/>
      <c r="G404" s="20"/>
      <c r="H404" s="21"/>
      <c r="I404" s="50"/>
      <c r="J404" s="58"/>
      <c r="K404" s="23">
        <f>SUM(K405:K410)</f>
        <v>1180000</v>
      </c>
      <c r="L404" s="23">
        <f aca="true" t="shared" si="75" ref="L404:X404">SUM(L405:L410)</f>
        <v>500</v>
      </c>
      <c r="M404" s="23">
        <f t="shared" si="75"/>
        <v>0</v>
      </c>
      <c r="N404" s="23">
        <f t="shared" si="75"/>
        <v>0</v>
      </c>
      <c r="O404" s="23">
        <f t="shared" si="75"/>
        <v>0</v>
      </c>
      <c r="P404" s="23">
        <f t="shared" si="75"/>
        <v>0</v>
      </c>
      <c r="Q404" s="23">
        <f t="shared" si="75"/>
        <v>0</v>
      </c>
      <c r="R404" s="23">
        <f t="shared" si="75"/>
        <v>0</v>
      </c>
      <c r="S404" s="23">
        <f t="shared" si="75"/>
        <v>0</v>
      </c>
      <c r="T404" s="23">
        <f t="shared" si="75"/>
        <v>0</v>
      </c>
      <c r="U404" s="23">
        <f t="shared" si="75"/>
        <v>0</v>
      </c>
      <c r="V404" s="23">
        <f t="shared" si="75"/>
        <v>1180000</v>
      </c>
      <c r="W404" s="23">
        <f t="shared" si="75"/>
        <v>0</v>
      </c>
      <c r="X404" s="23">
        <f t="shared" si="75"/>
        <v>0</v>
      </c>
      <c r="Y404" s="118">
        <f t="shared" si="58"/>
        <v>0</v>
      </c>
      <c r="Z404" s="23">
        <f>SUM(Z405:Z410)</f>
        <v>0</v>
      </c>
      <c r="AA404" s="118">
        <f t="shared" si="74"/>
        <v>0</v>
      </c>
      <c r="AB404" s="118"/>
      <c r="AC404" s="24"/>
      <c r="AD404" s="118">
        <f t="shared" si="50"/>
        <v>1180000</v>
      </c>
    </row>
    <row r="405" spans="1:30" ht="30.75" hidden="1">
      <c r="A405" s="184"/>
      <c r="B405" s="184"/>
      <c r="C405" s="185"/>
      <c r="D405" s="184"/>
      <c r="E405" s="19" t="s">
        <v>747</v>
      </c>
      <c r="F405" s="96">
        <v>2253</v>
      </c>
      <c r="G405" s="25">
        <v>2020</v>
      </c>
      <c r="H405" s="20">
        <v>90000</v>
      </c>
      <c r="I405" s="50">
        <v>0</v>
      </c>
      <c r="J405" s="58"/>
      <c r="K405" s="20">
        <f>90000-90000</f>
        <v>0</v>
      </c>
      <c r="L405" s="35">
        <v>100</v>
      </c>
      <c r="M405" s="20"/>
      <c r="N405" s="20"/>
      <c r="O405" s="20"/>
      <c r="P405" s="20"/>
      <c r="Q405" s="20"/>
      <c r="R405" s="20"/>
      <c r="S405" s="20"/>
      <c r="T405" s="20"/>
      <c r="U405" s="20"/>
      <c r="V405" s="20">
        <f>90000-90000</f>
        <v>0</v>
      </c>
      <c r="W405" s="20"/>
      <c r="X405" s="20"/>
      <c r="Y405" s="118">
        <f t="shared" si="58"/>
        <v>0</v>
      </c>
      <c r="Z405" s="20"/>
      <c r="AA405" s="118">
        <f t="shared" si="74"/>
        <v>0</v>
      </c>
      <c r="AB405" s="118"/>
      <c r="AC405" s="24"/>
      <c r="AD405" s="118">
        <f t="shared" si="50"/>
        <v>0</v>
      </c>
    </row>
    <row r="406" spans="1:30" ht="30.75">
      <c r="A406" s="184"/>
      <c r="B406" s="184"/>
      <c r="C406" s="185"/>
      <c r="D406" s="184"/>
      <c r="E406" s="19" t="s">
        <v>837</v>
      </c>
      <c r="F406" s="96">
        <v>2598</v>
      </c>
      <c r="G406" s="25"/>
      <c r="H406" s="20"/>
      <c r="I406" s="50"/>
      <c r="J406" s="58">
        <v>3110</v>
      </c>
      <c r="K406" s="20">
        <v>50000</v>
      </c>
      <c r="L406" s="35"/>
      <c r="M406" s="20"/>
      <c r="N406" s="20"/>
      <c r="O406" s="20"/>
      <c r="P406" s="20"/>
      <c r="Q406" s="20"/>
      <c r="R406" s="20"/>
      <c r="S406" s="20"/>
      <c r="T406" s="20"/>
      <c r="U406" s="20"/>
      <c r="V406" s="20">
        <v>50000</v>
      </c>
      <c r="W406" s="20"/>
      <c r="X406" s="20"/>
      <c r="Y406" s="118">
        <f t="shared" si="58"/>
        <v>0</v>
      </c>
      <c r="Z406" s="20"/>
      <c r="AA406" s="118">
        <f t="shared" si="74"/>
        <v>0</v>
      </c>
      <c r="AB406" s="118"/>
      <c r="AC406" s="24"/>
      <c r="AD406" s="118">
        <f t="shared" si="50"/>
        <v>50000</v>
      </c>
    </row>
    <row r="407" spans="1:30" ht="51.75" customHeight="1">
      <c r="A407" s="184"/>
      <c r="B407" s="184"/>
      <c r="C407" s="185"/>
      <c r="D407" s="184"/>
      <c r="E407" s="63" t="s">
        <v>748</v>
      </c>
      <c r="F407" s="97">
        <v>2254</v>
      </c>
      <c r="G407" s="25">
        <v>2020</v>
      </c>
      <c r="H407" s="20">
        <v>200000</v>
      </c>
      <c r="I407" s="50">
        <v>0</v>
      </c>
      <c r="J407" s="58">
        <v>3110</v>
      </c>
      <c r="K407" s="20">
        <v>200000</v>
      </c>
      <c r="L407" s="35">
        <v>100</v>
      </c>
      <c r="M407" s="20"/>
      <c r="N407" s="20"/>
      <c r="O407" s="20"/>
      <c r="P407" s="20"/>
      <c r="Q407" s="20"/>
      <c r="R407" s="20"/>
      <c r="S407" s="20"/>
      <c r="T407" s="20"/>
      <c r="U407" s="20"/>
      <c r="V407" s="20">
        <v>200000</v>
      </c>
      <c r="W407" s="20"/>
      <c r="X407" s="20"/>
      <c r="Y407" s="118">
        <f t="shared" si="58"/>
        <v>0</v>
      </c>
      <c r="Z407" s="20"/>
      <c r="AA407" s="118">
        <f t="shared" si="74"/>
        <v>0</v>
      </c>
      <c r="AB407" s="118"/>
      <c r="AC407" s="24"/>
      <c r="AD407" s="118">
        <f t="shared" si="50"/>
        <v>200000</v>
      </c>
    </row>
    <row r="408" spans="1:30" ht="48" customHeight="1">
      <c r="A408" s="184"/>
      <c r="B408" s="184"/>
      <c r="C408" s="185"/>
      <c r="D408" s="184"/>
      <c r="E408" s="63" t="s">
        <v>240</v>
      </c>
      <c r="F408" s="96">
        <v>2255</v>
      </c>
      <c r="G408" s="25">
        <v>2020</v>
      </c>
      <c r="H408" s="20">
        <v>490000</v>
      </c>
      <c r="I408" s="50">
        <v>0</v>
      </c>
      <c r="J408" s="58">
        <v>3110</v>
      </c>
      <c r="K408" s="20">
        <v>490000</v>
      </c>
      <c r="L408" s="35">
        <v>100</v>
      </c>
      <c r="M408" s="20"/>
      <c r="N408" s="20"/>
      <c r="O408" s="20"/>
      <c r="P408" s="20"/>
      <c r="Q408" s="20"/>
      <c r="R408" s="20"/>
      <c r="S408" s="20"/>
      <c r="T408" s="20"/>
      <c r="U408" s="20"/>
      <c r="V408" s="20">
        <v>490000</v>
      </c>
      <c r="W408" s="20"/>
      <c r="X408" s="20"/>
      <c r="Y408" s="118">
        <f t="shared" si="58"/>
        <v>0</v>
      </c>
      <c r="Z408" s="20"/>
      <c r="AA408" s="118">
        <f t="shared" si="74"/>
        <v>0</v>
      </c>
      <c r="AB408" s="118"/>
      <c r="AC408" s="24"/>
      <c r="AD408" s="118">
        <f t="shared" si="50"/>
        <v>490000</v>
      </c>
    </row>
    <row r="409" spans="1:30" ht="46.5">
      <c r="A409" s="184"/>
      <c r="B409" s="184"/>
      <c r="C409" s="185"/>
      <c r="D409" s="184"/>
      <c r="E409" s="19" t="s">
        <v>241</v>
      </c>
      <c r="F409" s="97">
        <v>2256</v>
      </c>
      <c r="G409" s="25">
        <v>2020</v>
      </c>
      <c r="H409" s="20">
        <v>440000</v>
      </c>
      <c r="I409" s="50">
        <v>0</v>
      </c>
      <c r="J409" s="58">
        <v>3110</v>
      </c>
      <c r="K409" s="20">
        <v>440000</v>
      </c>
      <c r="L409" s="35">
        <v>100</v>
      </c>
      <c r="M409" s="20"/>
      <c r="N409" s="20"/>
      <c r="O409" s="20"/>
      <c r="P409" s="20"/>
      <c r="Q409" s="20"/>
      <c r="R409" s="20"/>
      <c r="S409" s="20"/>
      <c r="T409" s="20"/>
      <c r="U409" s="20"/>
      <c r="V409" s="20">
        <v>440000</v>
      </c>
      <c r="W409" s="20"/>
      <c r="X409" s="20"/>
      <c r="Y409" s="118">
        <f t="shared" si="58"/>
        <v>0</v>
      </c>
      <c r="Z409" s="20"/>
      <c r="AA409" s="118">
        <f t="shared" si="74"/>
        <v>0</v>
      </c>
      <c r="AB409" s="118"/>
      <c r="AC409" s="24"/>
      <c r="AD409" s="118">
        <f t="shared" si="50"/>
        <v>440000</v>
      </c>
    </row>
    <row r="410" spans="1:30" ht="30.75" hidden="1">
      <c r="A410" s="184"/>
      <c r="B410" s="184"/>
      <c r="C410" s="185"/>
      <c r="D410" s="184"/>
      <c r="E410" s="26" t="s">
        <v>242</v>
      </c>
      <c r="F410" s="96">
        <v>2257</v>
      </c>
      <c r="G410" s="25">
        <v>2020</v>
      </c>
      <c r="H410" s="24">
        <v>500000</v>
      </c>
      <c r="I410" s="50">
        <v>0</v>
      </c>
      <c r="J410" s="58"/>
      <c r="K410" s="24">
        <f>500000-500000</f>
        <v>0</v>
      </c>
      <c r="L410" s="35">
        <v>100</v>
      </c>
      <c r="M410" s="20"/>
      <c r="N410" s="20"/>
      <c r="O410" s="20"/>
      <c r="P410" s="20"/>
      <c r="Q410" s="20"/>
      <c r="R410" s="20"/>
      <c r="S410" s="20"/>
      <c r="T410" s="20"/>
      <c r="U410" s="20"/>
      <c r="V410" s="20">
        <f>500000-500000</f>
        <v>0</v>
      </c>
      <c r="W410" s="20"/>
      <c r="X410" s="20"/>
      <c r="Y410" s="118">
        <f t="shared" si="58"/>
        <v>0</v>
      </c>
      <c r="Z410" s="20"/>
      <c r="AA410" s="118">
        <f t="shared" si="74"/>
        <v>0</v>
      </c>
      <c r="AB410" s="118"/>
      <c r="AC410" s="24"/>
      <c r="AD410" s="118">
        <f t="shared" si="50"/>
        <v>0</v>
      </c>
    </row>
    <row r="411" spans="1:30" ht="21" hidden="1">
      <c r="A411" s="184">
        <v>1216090</v>
      </c>
      <c r="B411" s="184">
        <v>6090</v>
      </c>
      <c r="C411" s="185" t="s">
        <v>106</v>
      </c>
      <c r="D411" s="184" t="s">
        <v>107</v>
      </c>
      <c r="E411" s="19"/>
      <c r="F411" s="96"/>
      <c r="G411" s="20"/>
      <c r="H411" s="21"/>
      <c r="I411" s="50"/>
      <c r="J411" s="58"/>
      <c r="K411" s="20"/>
      <c r="L411" s="35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118">
        <f t="shared" si="58"/>
        <v>0</v>
      </c>
      <c r="Z411" s="20"/>
      <c r="AA411" s="118">
        <f t="shared" si="74"/>
        <v>0</v>
      </c>
      <c r="AB411" s="118"/>
      <c r="AC411" s="24"/>
      <c r="AD411" s="118">
        <f t="shared" si="50"/>
        <v>0</v>
      </c>
    </row>
    <row r="412" spans="1:30" ht="21" hidden="1">
      <c r="A412" s="184"/>
      <c r="B412" s="184"/>
      <c r="C412" s="185"/>
      <c r="D412" s="184"/>
      <c r="E412" s="19"/>
      <c r="F412" s="96"/>
      <c r="G412" s="20"/>
      <c r="H412" s="21"/>
      <c r="I412" s="50"/>
      <c r="J412" s="58"/>
      <c r="K412" s="20"/>
      <c r="L412" s="35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118">
        <f t="shared" si="58"/>
        <v>0</v>
      </c>
      <c r="Z412" s="20"/>
      <c r="AA412" s="118">
        <f t="shared" si="74"/>
        <v>0</v>
      </c>
      <c r="AB412" s="118"/>
      <c r="AC412" s="24"/>
      <c r="AD412" s="118">
        <f t="shared" si="50"/>
        <v>0</v>
      </c>
    </row>
    <row r="413" spans="1:30" ht="15" customHeight="1">
      <c r="A413" s="185" t="s">
        <v>108</v>
      </c>
      <c r="B413" s="185" t="s">
        <v>109</v>
      </c>
      <c r="C413" s="185" t="s">
        <v>66</v>
      </c>
      <c r="D413" s="184" t="s">
        <v>110</v>
      </c>
      <c r="E413" s="19"/>
      <c r="F413" s="96"/>
      <c r="G413" s="20"/>
      <c r="H413" s="21"/>
      <c r="I413" s="50"/>
      <c r="J413" s="58"/>
      <c r="K413" s="23">
        <f aca="true" t="shared" si="76" ref="K413:X413">SUM(K414:K474)</f>
        <v>18647430.819999997</v>
      </c>
      <c r="L413" s="23">
        <f t="shared" si="76"/>
        <v>5560.5</v>
      </c>
      <c r="M413" s="23">
        <f t="shared" si="76"/>
        <v>0</v>
      </c>
      <c r="N413" s="23">
        <f t="shared" si="76"/>
        <v>770729.29</v>
      </c>
      <c r="O413" s="23">
        <f t="shared" si="76"/>
        <v>474715.11</v>
      </c>
      <c r="P413" s="23">
        <f t="shared" si="76"/>
        <v>1362000</v>
      </c>
      <c r="Q413" s="23">
        <f t="shared" si="76"/>
        <v>572500</v>
      </c>
      <c r="R413" s="23">
        <f t="shared" si="76"/>
        <v>0</v>
      </c>
      <c r="S413" s="23">
        <f t="shared" si="76"/>
        <v>8748301.909999998</v>
      </c>
      <c r="T413" s="23">
        <f t="shared" si="76"/>
        <v>915818.45</v>
      </c>
      <c r="U413" s="23">
        <f t="shared" si="76"/>
        <v>4871318.06</v>
      </c>
      <c r="V413" s="23">
        <f t="shared" si="76"/>
        <v>115365</v>
      </c>
      <c r="W413" s="23">
        <f t="shared" si="76"/>
        <v>601000</v>
      </c>
      <c r="X413" s="23">
        <f t="shared" si="76"/>
        <v>215683</v>
      </c>
      <c r="Y413" s="118">
        <f t="shared" si="58"/>
        <v>0</v>
      </c>
      <c r="Z413" s="23">
        <f>SUM(Z414:Z474)</f>
        <v>11813840.069999997</v>
      </c>
      <c r="AA413" s="118">
        <f t="shared" si="74"/>
        <v>114406.24000000209</v>
      </c>
      <c r="AB413" s="118"/>
      <c r="AC413" s="24"/>
      <c r="AD413" s="118">
        <f t="shared" si="50"/>
        <v>6833590.75</v>
      </c>
    </row>
    <row r="414" spans="1:30" ht="21" hidden="1">
      <c r="A414" s="185"/>
      <c r="B414" s="185"/>
      <c r="C414" s="185"/>
      <c r="D414" s="184"/>
      <c r="E414" s="19" t="s">
        <v>256</v>
      </c>
      <c r="F414" s="96">
        <v>2258</v>
      </c>
      <c r="G414" s="25">
        <v>2020</v>
      </c>
      <c r="H414" s="20">
        <v>823000</v>
      </c>
      <c r="I414" s="50">
        <v>0</v>
      </c>
      <c r="J414" s="58"/>
      <c r="K414" s="20">
        <f>823000-823000</f>
        <v>0</v>
      </c>
      <c r="L414" s="35">
        <v>100</v>
      </c>
      <c r="M414" s="20"/>
      <c r="N414" s="20"/>
      <c r="O414" s="20"/>
      <c r="P414" s="20">
        <f>60000-60000</f>
        <v>0</v>
      </c>
      <c r="Q414" s="20"/>
      <c r="R414" s="20"/>
      <c r="S414" s="20"/>
      <c r="T414" s="20">
        <f>763000-763000</f>
        <v>0</v>
      </c>
      <c r="U414" s="20"/>
      <c r="V414" s="20"/>
      <c r="W414" s="20"/>
      <c r="X414" s="20"/>
      <c r="Y414" s="118">
        <f t="shared" si="58"/>
        <v>0</v>
      </c>
      <c r="Z414" s="24"/>
      <c r="AA414" s="118">
        <f t="shared" si="74"/>
        <v>0</v>
      </c>
      <c r="AB414" s="118"/>
      <c r="AC414" s="24"/>
      <c r="AD414" s="118">
        <f aca="true" t="shared" si="77" ref="AD414:AD477">K414-Z414+AC414-AB414</f>
        <v>0</v>
      </c>
    </row>
    <row r="415" spans="1:30" ht="21">
      <c r="A415" s="185"/>
      <c r="B415" s="185"/>
      <c r="C415" s="185"/>
      <c r="D415" s="184"/>
      <c r="E415" s="19" t="s">
        <v>838</v>
      </c>
      <c r="F415" s="96">
        <v>2599</v>
      </c>
      <c r="G415" s="25"/>
      <c r="H415" s="20"/>
      <c r="I415" s="50"/>
      <c r="J415" s="58">
        <v>3132</v>
      </c>
      <c r="K415" s="20">
        <f>1000000+450000</f>
        <v>1450000</v>
      </c>
      <c r="L415" s="35"/>
      <c r="M415" s="20"/>
      <c r="N415" s="20">
        <f>1000000-1000000</f>
        <v>0</v>
      </c>
      <c r="O415" s="20"/>
      <c r="P415" s="20"/>
      <c r="Q415" s="20">
        <f>1000000+450000-1450000</f>
        <v>0</v>
      </c>
      <c r="R415" s="20"/>
      <c r="S415" s="20">
        <f>593750+119000</f>
        <v>712750</v>
      </c>
      <c r="T415" s="20"/>
      <c r="U415" s="20">
        <f>621885</f>
        <v>621885</v>
      </c>
      <c r="V415" s="20">
        <f>828115-593750-119000</f>
        <v>115365</v>
      </c>
      <c r="W415" s="20"/>
      <c r="X415" s="20"/>
      <c r="Y415" s="118">
        <f t="shared" si="58"/>
        <v>0</v>
      </c>
      <c r="Z415" s="24">
        <f>712500</f>
        <v>712500</v>
      </c>
      <c r="AA415" s="118">
        <f t="shared" si="74"/>
        <v>250</v>
      </c>
      <c r="AB415" s="118"/>
      <c r="AC415" s="24"/>
      <c r="AD415" s="118">
        <f t="shared" si="77"/>
        <v>737500</v>
      </c>
    </row>
    <row r="416" spans="1:30" ht="30.75">
      <c r="A416" s="185"/>
      <c r="B416" s="185"/>
      <c r="C416" s="185"/>
      <c r="D416" s="184"/>
      <c r="E416" s="26" t="s">
        <v>749</v>
      </c>
      <c r="F416" s="97">
        <v>2259</v>
      </c>
      <c r="G416" s="20" t="s">
        <v>201</v>
      </c>
      <c r="H416" s="20">
        <v>110000</v>
      </c>
      <c r="I416" s="20">
        <v>9.090909090909093</v>
      </c>
      <c r="J416" s="58">
        <v>3142</v>
      </c>
      <c r="K416" s="24">
        <f>10490-2061.15</f>
        <v>8428.85</v>
      </c>
      <c r="L416" s="35">
        <v>100</v>
      </c>
      <c r="M416" s="20"/>
      <c r="N416" s="20">
        <v>10490</v>
      </c>
      <c r="O416" s="20">
        <v>-2061.15</v>
      </c>
      <c r="P416" s="20"/>
      <c r="Q416" s="20"/>
      <c r="R416" s="20"/>
      <c r="S416" s="20"/>
      <c r="T416" s="20">
        <f>10490-10490</f>
        <v>0</v>
      </c>
      <c r="U416" s="20"/>
      <c r="V416" s="20"/>
      <c r="W416" s="20"/>
      <c r="X416" s="20"/>
      <c r="Y416" s="118">
        <f t="shared" si="58"/>
        <v>4.547473508864641E-13</v>
      </c>
      <c r="Z416" s="24">
        <f>8428.85</f>
        <v>8428.85</v>
      </c>
      <c r="AA416" s="118">
        <f t="shared" si="74"/>
        <v>0</v>
      </c>
      <c r="AB416" s="118"/>
      <c r="AC416" s="24"/>
      <c r="AD416" s="118">
        <f t="shared" si="77"/>
        <v>0</v>
      </c>
    </row>
    <row r="417" spans="1:30" ht="30.75">
      <c r="A417" s="185"/>
      <c r="B417" s="185"/>
      <c r="C417" s="185"/>
      <c r="D417" s="184"/>
      <c r="E417" s="26" t="s">
        <v>280</v>
      </c>
      <c r="F417" s="96">
        <v>2260</v>
      </c>
      <c r="G417" s="20" t="s">
        <v>201</v>
      </c>
      <c r="H417" s="20">
        <v>110000</v>
      </c>
      <c r="I417" s="20">
        <v>9.090909090909093</v>
      </c>
      <c r="J417" s="58">
        <v>3142</v>
      </c>
      <c r="K417" s="24">
        <v>110000</v>
      </c>
      <c r="L417" s="35">
        <v>100</v>
      </c>
      <c r="M417" s="20"/>
      <c r="N417" s="20">
        <v>10000</v>
      </c>
      <c r="O417" s="20">
        <f>100000</f>
        <v>100000</v>
      </c>
      <c r="P417" s="20"/>
      <c r="Q417" s="20"/>
      <c r="R417" s="20"/>
      <c r="S417" s="20">
        <f>-16366.05</f>
        <v>-16366.05</v>
      </c>
      <c r="T417" s="20">
        <f>110000-10000-100000</f>
        <v>0</v>
      </c>
      <c r="U417" s="20">
        <f>16366.05</f>
        <v>16366.05</v>
      </c>
      <c r="V417" s="20"/>
      <c r="W417" s="20"/>
      <c r="X417" s="20"/>
      <c r="Y417" s="118">
        <f t="shared" si="58"/>
        <v>0</v>
      </c>
      <c r="Z417" s="24">
        <f>8842.56+76951+993.16</f>
        <v>86786.72</v>
      </c>
      <c r="AA417" s="118">
        <f t="shared" si="74"/>
        <v>6847.229999999996</v>
      </c>
      <c r="AB417" s="118"/>
      <c r="AC417" s="24"/>
      <c r="AD417" s="118">
        <f t="shared" si="77"/>
        <v>23213.28</v>
      </c>
    </row>
    <row r="418" spans="1:30" ht="30.75">
      <c r="A418" s="185"/>
      <c r="B418" s="185"/>
      <c r="C418" s="185"/>
      <c r="D418" s="184"/>
      <c r="E418" s="26" t="s">
        <v>255</v>
      </c>
      <c r="F418" s="97">
        <v>2261</v>
      </c>
      <c r="G418" s="25">
        <v>2020</v>
      </c>
      <c r="H418" s="24">
        <v>50000</v>
      </c>
      <c r="I418" s="50">
        <v>0</v>
      </c>
      <c r="J418" s="58">
        <v>3142</v>
      </c>
      <c r="K418" s="24">
        <f>50000+40000-79000</f>
        <v>11000</v>
      </c>
      <c r="L418" s="35">
        <v>100</v>
      </c>
      <c r="M418" s="20"/>
      <c r="N418" s="20">
        <v>10000</v>
      </c>
      <c r="O418" s="20">
        <f>238.37</f>
        <v>238.37</v>
      </c>
      <c r="P418" s="20"/>
      <c r="Q418" s="20"/>
      <c r="R418" s="20"/>
      <c r="S418" s="20"/>
      <c r="T418" s="20">
        <f>50000-10000-238.37-39000</f>
        <v>761.6299999999974</v>
      </c>
      <c r="U418" s="20"/>
      <c r="V418" s="20">
        <f>40000-40000</f>
        <v>0</v>
      </c>
      <c r="W418" s="20"/>
      <c r="X418" s="20"/>
      <c r="Y418" s="118">
        <f t="shared" si="58"/>
        <v>2.6147972675971687E-12</v>
      </c>
      <c r="Z418" s="24">
        <v>10238.37</v>
      </c>
      <c r="AA418" s="118">
        <f t="shared" si="74"/>
        <v>0</v>
      </c>
      <c r="AB418" s="118"/>
      <c r="AC418" s="24"/>
      <c r="AD418" s="118">
        <f t="shared" si="77"/>
        <v>761.6299999999992</v>
      </c>
    </row>
    <row r="419" spans="1:30" ht="30.75">
      <c r="A419" s="185"/>
      <c r="B419" s="185"/>
      <c r="C419" s="185"/>
      <c r="D419" s="184"/>
      <c r="E419" s="26" t="s">
        <v>287</v>
      </c>
      <c r="F419" s="96">
        <v>2262</v>
      </c>
      <c r="G419" s="20" t="s">
        <v>207</v>
      </c>
      <c r="H419" s="20">
        <v>10000000</v>
      </c>
      <c r="I419" s="20">
        <v>0</v>
      </c>
      <c r="J419" s="58">
        <v>3142</v>
      </c>
      <c r="K419" s="24">
        <f>531055.84+300000</f>
        <v>831055.84</v>
      </c>
      <c r="L419" s="35">
        <v>8.3</v>
      </c>
      <c r="M419" s="20"/>
      <c r="N419" s="20"/>
      <c r="O419" s="20"/>
      <c r="P419" s="20">
        <f>200000-200000</f>
        <v>0</v>
      </c>
      <c r="Q419" s="20"/>
      <c r="R419" s="20"/>
      <c r="S419" s="20">
        <f>631055.84-631055.84</f>
        <v>0</v>
      </c>
      <c r="T419" s="20">
        <f>200000</f>
        <v>200000</v>
      </c>
      <c r="U419" s="20">
        <f>631055.84</f>
        <v>631055.84</v>
      </c>
      <c r="V419" s="20"/>
      <c r="W419" s="20"/>
      <c r="X419" s="20"/>
      <c r="Y419" s="118">
        <f t="shared" si="58"/>
        <v>0</v>
      </c>
      <c r="Z419" s="24"/>
      <c r="AA419" s="118">
        <f t="shared" si="74"/>
        <v>0</v>
      </c>
      <c r="AB419" s="118"/>
      <c r="AC419" s="24"/>
      <c r="AD419" s="118">
        <f t="shared" si="77"/>
        <v>831055.84</v>
      </c>
    </row>
    <row r="420" spans="1:30" ht="46.5">
      <c r="A420" s="185"/>
      <c r="B420" s="185"/>
      <c r="C420" s="185"/>
      <c r="D420" s="184"/>
      <c r="E420" s="63" t="s">
        <v>247</v>
      </c>
      <c r="F420" s="97">
        <v>2263</v>
      </c>
      <c r="G420" s="25">
        <v>2020</v>
      </c>
      <c r="H420" s="20">
        <v>226413</v>
      </c>
      <c r="I420" s="50">
        <v>0</v>
      </c>
      <c r="J420" s="58">
        <v>3122</v>
      </c>
      <c r="K420" s="20">
        <v>226413</v>
      </c>
      <c r="L420" s="35">
        <v>100</v>
      </c>
      <c r="M420" s="20"/>
      <c r="N420" s="20"/>
      <c r="O420" s="20"/>
      <c r="P420" s="20">
        <v>20000</v>
      </c>
      <c r="Q420" s="20"/>
      <c r="R420" s="20"/>
      <c r="S420" s="20">
        <f>100000+60503.26</f>
        <v>160503.26</v>
      </c>
      <c r="T420" s="20"/>
      <c r="U420" s="20">
        <f>106413-60503.26</f>
        <v>45909.74</v>
      </c>
      <c r="V420" s="20"/>
      <c r="W420" s="20"/>
      <c r="X420" s="20"/>
      <c r="Y420" s="118">
        <f t="shared" si="58"/>
        <v>-7.275957614183426E-12</v>
      </c>
      <c r="Z420" s="24">
        <f>16000+164502.56</f>
        <v>180502.56</v>
      </c>
      <c r="AA420" s="118">
        <f t="shared" si="74"/>
        <v>0.7000000000116415</v>
      </c>
      <c r="AB420" s="118"/>
      <c r="AC420" s="24">
        <v>-45909.44</v>
      </c>
      <c r="AD420" s="118">
        <f t="shared" si="77"/>
        <v>1</v>
      </c>
    </row>
    <row r="421" spans="1:30" ht="46.5">
      <c r="A421" s="185"/>
      <c r="B421" s="185"/>
      <c r="C421" s="185"/>
      <c r="D421" s="184"/>
      <c r="E421" s="102" t="s">
        <v>736</v>
      </c>
      <c r="F421" s="96">
        <v>2264</v>
      </c>
      <c r="G421" s="25">
        <v>2020</v>
      </c>
      <c r="H421" s="24">
        <f>504910-250000</f>
        <v>254910</v>
      </c>
      <c r="I421" s="50">
        <v>0</v>
      </c>
      <c r="J421" s="58">
        <v>3122</v>
      </c>
      <c r="K421" s="24">
        <f>504910-250000</f>
        <v>254910</v>
      </c>
      <c r="L421" s="35">
        <v>100</v>
      </c>
      <c r="M421" s="20"/>
      <c r="N421" s="20"/>
      <c r="O421" s="20"/>
      <c r="P421" s="20">
        <v>20000</v>
      </c>
      <c r="Q421" s="20"/>
      <c r="R421" s="20"/>
      <c r="S421" s="20">
        <f>120000+84390.05</f>
        <v>204390.05</v>
      </c>
      <c r="T421" s="20"/>
      <c r="U421" s="20">
        <f>114910-84390.05</f>
        <v>30519.949999999997</v>
      </c>
      <c r="V421" s="20"/>
      <c r="W421" s="20"/>
      <c r="X421" s="20"/>
      <c r="Y421" s="118">
        <f t="shared" si="58"/>
        <v>1.4551915228366852E-11</v>
      </c>
      <c r="Z421" s="24">
        <f>19000+205390.05</f>
        <v>224390.05</v>
      </c>
      <c r="AA421" s="118">
        <f t="shared" si="74"/>
        <v>0</v>
      </c>
      <c r="AB421" s="118"/>
      <c r="AC421" s="24">
        <v>-30519.95</v>
      </c>
      <c r="AD421" s="118">
        <f t="shared" si="77"/>
        <v>1.0913936421275139E-11</v>
      </c>
    </row>
    <row r="422" spans="1:30" ht="46.5">
      <c r="A422" s="185"/>
      <c r="B422" s="185"/>
      <c r="C422" s="185"/>
      <c r="D422" s="184"/>
      <c r="E422" s="102" t="s">
        <v>250</v>
      </c>
      <c r="F422" s="97">
        <v>2265</v>
      </c>
      <c r="G422" s="25">
        <v>2020</v>
      </c>
      <c r="H422" s="24">
        <v>461725</v>
      </c>
      <c r="I422" s="50">
        <v>0</v>
      </c>
      <c r="J422" s="58">
        <v>3122</v>
      </c>
      <c r="K422" s="24">
        <v>461725</v>
      </c>
      <c r="L422" s="35">
        <v>100</v>
      </c>
      <c r="M422" s="20"/>
      <c r="N422" s="20"/>
      <c r="O422" s="20"/>
      <c r="P422" s="20">
        <v>40000</v>
      </c>
      <c r="Q422" s="20"/>
      <c r="R422" s="20"/>
      <c r="S422" s="20">
        <f>200000+115355.37</f>
        <v>315355.37</v>
      </c>
      <c r="T422" s="20"/>
      <c r="U422" s="20">
        <f>221725-115355.37</f>
        <v>106369.63</v>
      </c>
      <c r="V422" s="20"/>
      <c r="W422" s="20"/>
      <c r="X422" s="20"/>
      <c r="Y422" s="118">
        <f t="shared" si="58"/>
        <v>0</v>
      </c>
      <c r="Z422" s="24">
        <f>27000+328355.37</f>
        <v>355355.37</v>
      </c>
      <c r="AA422" s="118">
        <f t="shared" si="74"/>
        <v>0</v>
      </c>
      <c r="AB422" s="118"/>
      <c r="AC422" s="24">
        <v>-106369.63</v>
      </c>
      <c r="AD422" s="118">
        <f t="shared" si="77"/>
        <v>0</v>
      </c>
    </row>
    <row r="423" spans="1:30" ht="43.5" customHeight="1">
      <c r="A423" s="185"/>
      <c r="B423" s="185"/>
      <c r="C423" s="185"/>
      <c r="D423" s="184"/>
      <c r="E423" s="26" t="s">
        <v>264</v>
      </c>
      <c r="F423" s="96">
        <v>2266</v>
      </c>
      <c r="G423" s="25">
        <v>2020</v>
      </c>
      <c r="H423" s="24">
        <v>300000</v>
      </c>
      <c r="I423" s="50">
        <v>0</v>
      </c>
      <c r="J423" s="58">
        <v>3122</v>
      </c>
      <c r="K423" s="24">
        <v>300000</v>
      </c>
      <c r="L423" s="35">
        <v>100</v>
      </c>
      <c r="M423" s="20"/>
      <c r="N423" s="20"/>
      <c r="O423" s="20"/>
      <c r="P423" s="20">
        <f>25000-5000</f>
        <v>20000</v>
      </c>
      <c r="Q423" s="20"/>
      <c r="R423" s="20"/>
      <c r="S423" s="20">
        <f>150000+5000-175000</f>
        <v>-20000</v>
      </c>
      <c r="T423" s="20"/>
      <c r="U423" s="20">
        <f>125000+175000</f>
        <v>300000</v>
      </c>
      <c r="V423" s="20"/>
      <c r="W423" s="20"/>
      <c r="X423" s="20"/>
      <c r="Y423" s="118">
        <f t="shared" si="58"/>
        <v>0</v>
      </c>
      <c r="Z423" s="24"/>
      <c r="AA423" s="118">
        <f t="shared" si="74"/>
        <v>0</v>
      </c>
      <c r="AB423" s="118"/>
      <c r="AC423" s="24">
        <v>-300000</v>
      </c>
      <c r="AD423" s="118">
        <f t="shared" si="77"/>
        <v>0</v>
      </c>
    </row>
    <row r="424" spans="1:30" ht="46.5">
      <c r="A424" s="185"/>
      <c r="B424" s="185"/>
      <c r="C424" s="185"/>
      <c r="D424" s="184"/>
      <c r="E424" s="26" t="s">
        <v>261</v>
      </c>
      <c r="F424" s="97">
        <v>2267</v>
      </c>
      <c r="G424" s="25">
        <v>2020</v>
      </c>
      <c r="H424" s="24">
        <v>300000</v>
      </c>
      <c r="I424" s="50">
        <v>0</v>
      </c>
      <c r="J424" s="58">
        <v>3122</v>
      </c>
      <c r="K424" s="24">
        <v>300000</v>
      </c>
      <c r="L424" s="35">
        <v>100</v>
      </c>
      <c r="M424" s="20"/>
      <c r="N424" s="20"/>
      <c r="O424" s="20"/>
      <c r="P424" s="20">
        <v>25000</v>
      </c>
      <c r="Q424" s="20"/>
      <c r="R424" s="20"/>
      <c r="S424" s="20">
        <f>150000+66862.11</f>
        <v>216862.11</v>
      </c>
      <c r="T424" s="20"/>
      <c r="U424" s="20">
        <f>125000-66862.11</f>
        <v>58137.89</v>
      </c>
      <c r="V424" s="20"/>
      <c r="W424" s="20"/>
      <c r="X424" s="20"/>
      <c r="Y424" s="118">
        <f t="shared" si="58"/>
        <v>1.4551915228366852E-11</v>
      </c>
      <c r="Z424" s="24">
        <f>20000+221862.11</f>
        <v>241862.11</v>
      </c>
      <c r="AA424" s="118">
        <f t="shared" si="74"/>
        <v>0</v>
      </c>
      <c r="AB424" s="118"/>
      <c r="AC424" s="24">
        <v>-58137.89</v>
      </c>
      <c r="AD424" s="118">
        <f t="shared" si="77"/>
        <v>1.4551915228366852E-11</v>
      </c>
    </row>
    <row r="425" spans="1:30" ht="46.5">
      <c r="A425" s="185"/>
      <c r="B425" s="185"/>
      <c r="C425" s="185"/>
      <c r="D425" s="184"/>
      <c r="E425" s="19" t="s">
        <v>249</v>
      </c>
      <c r="F425" s="96">
        <v>2268</v>
      </c>
      <c r="G425" s="25">
        <v>2020</v>
      </c>
      <c r="H425" s="20">
        <v>350892</v>
      </c>
      <c r="I425" s="50">
        <v>0</v>
      </c>
      <c r="J425" s="58">
        <v>3122</v>
      </c>
      <c r="K425" s="20">
        <v>350892</v>
      </c>
      <c r="L425" s="35">
        <v>100</v>
      </c>
      <c r="M425" s="20"/>
      <c r="N425" s="20"/>
      <c r="O425" s="20"/>
      <c r="P425" s="20">
        <v>30000</v>
      </c>
      <c r="Q425" s="20"/>
      <c r="R425" s="20"/>
      <c r="S425" s="20">
        <f>150000+146053.88</f>
        <v>296053.88</v>
      </c>
      <c r="T425" s="20"/>
      <c r="U425" s="20">
        <f>170892-146053.88</f>
        <v>24838.119999999995</v>
      </c>
      <c r="V425" s="20"/>
      <c r="W425" s="20"/>
      <c r="X425" s="20"/>
      <c r="Y425" s="118">
        <f t="shared" si="58"/>
        <v>0</v>
      </c>
      <c r="Z425" s="24">
        <f>25000+301053.88</f>
        <v>326053.88</v>
      </c>
      <c r="AA425" s="118">
        <f t="shared" si="74"/>
        <v>0</v>
      </c>
      <c r="AB425" s="118"/>
      <c r="AC425" s="24">
        <v>-24838.12</v>
      </c>
      <c r="AD425" s="118">
        <f t="shared" si="77"/>
        <v>-3.637978807091713E-12</v>
      </c>
    </row>
    <row r="426" spans="1:30" ht="30.75">
      <c r="A426" s="185"/>
      <c r="B426" s="185"/>
      <c r="C426" s="185"/>
      <c r="D426" s="184"/>
      <c r="E426" s="19" t="s">
        <v>245</v>
      </c>
      <c r="F426" s="97">
        <v>2269</v>
      </c>
      <c r="G426" s="25">
        <v>2020</v>
      </c>
      <c r="H426" s="20">
        <v>350000</v>
      </c>
      <c r="I426" s="50">
        <v>0</v>
      </c>
      <c r="J426" s="58">
        <v>3122</v>
      </c>
      <c r="K426" s="20">
        <v>350000</v>
      </c>
      <c r="L426" s="35">
        <v>100</v>
      </c>
      <c r="M426" s="20"/>
      <c r="N426" s="20">
        <v>18000</v>
      </c>
      <c r="O426" s="20"/>
      <c r="P426" s="20">
        <v>180000</v>
      </c>
      <c r="Q426" s="20"/>
      <c r="R426" s="20"/>
      <c r="S426" s="20">
        <f>152000-15229.29</f>
        <v>136770.71</v>
      </c>
      <c r="T426" s="20"/>
      <c r="U426" s="20">
        <f>15229.29</f>
        <v>15229.29</v>
      </c>
      <c r="V426" s="20"/>
      <c r="W426" s="20"/>
      <c r="X426" s="20"/>
      <c r="Y426" s="118">
        <f t="shared" si="58"/>
        <v>7.275957614183426E-12</v>
      </c>
      <c r="Z426" s="24">
        <f>17000+317770.71</f>
        <v>334770.71</v>
      </c>
      <c r="AA426" s="118">
        <f t="shared" si="74"/>
        <v>0</v>
      </c>
      <c r="AB426" s="118"/>
      <c r="AC426" s="24">
        <v>-14729.29</v>
      </c>
      <c r="AD426" s="118">
        <f t="shared" si="77"/>
        <v>499.9999999999782</v>
      </c>
    </row>
    <row r="427" spans="1:30" ht="46.5">
      <c r="A427" s="185"/>
      <c r="B427" s="185"/>
      <c r="C427" s="185"/>
      <c r="D427" s="184"/>
      <c r="E427" s="63" t="s">
        <v>246</v>
      </c>
      <c r="F427" s="96">
        <v>2270</v>
      </c>
      <c r="G427" s="25">
        <v>2020</v>
      </c>
      <c r="H427" s="20">
        <v>471500</v>
      </c>
      <c r="I427" s="50">
        <v>0</v>
      </c>
      <c r="J427" s="58">
        <v>3122</v>
      </c>
      <c r="K427" s="20">
        <v>471500</v>
      </c>
      <c r="L427" s="35">
        <v>100</v>
      </c>
      <c r="M427" s="20"/>
      <c r="N427" s="20"/>
      <c r="O427" s="20"/>
      <c r="P427" s="20">
        <v>40000</v>
      </c>
      <c r="Q427" s="20"/>
      <c r="R427" s="20"/>
      <c r="S427" s="20">
        <f>231000+188616.73</f>
        <v>419616.73</v>
      </c>
      <c r="T427" s="20"/>
      <c r="U427" s="20">
        <f>200500-188616.73</f>
        <v>11883.26999999999</v>
      </c>
      <c r="V427" s="20"/>
      <c r="W427" s="20"/>
      <c r="X427" s="20"/>
      <c r="Y427" s="118">
        <f aca="true" t="shared" si="78" ref="Y427:Y491">K427-M427-N427-O427-P427-Q427-R427-S427-T427-U427-V427-W427-X427</f>
        <v>2.9103830456733704E-11</v>
      </c>
      <c r="Z427" s="24">
        <f>32000+427616.73</f>
        <v>459616.73</v>
      </c>
      <c r="AA427" s="118">
        <f t="shared" si="74"/>
        <v>0</v>
      </c>
      <c r="AB427" s="118"/>
      <c r="AC427" s="24">
        <v>-11883.27</v>
      </c>
      <c r="AD427" s="118">
        <f t="shared" si="77"/>
        <v>1.8189894035458565E-11</v>
      </c>
    </row>
    <row r="428" spans="1:30" ht="30.75">
      <c r="A428" s="185"/>
      <c r="B428" s="185"/>
      <c r="C428" s="185"/>
      <c r="D428" s="184"/>
      <c r="E428" s="63" t="s">
        <v>243</v>
      </c>
      <c r="F428" s="97">
        <v>2271</v>
      </c>
      <c r="G428" s="25">
        <v>2020</v>
      </c>
      <c r="H428" s="20">
        <v>265000</v>
      </c>
      <c r="I428" s="50">
        <v>0</v>
      </c>
      <c r="J428" s="58">
        <v>3122</v>
      </c>
      <c r="K428" s="20">
        <v>265000</v>
      </c>
      <c r="L428" s="35">
        <v>100</v>
      </c>
      <c r="M428" s="20"/>
      <c r="N428" s="20">
        <v>18000</v>
      </c>
      <c r="O428" s="20"/>
      <c r="P428" s="20">
        <v>147000</v>
      </c>
      <c r="Q428" s="20"/>
      <c r="R428" s="20"/>
      <c r="S428" s="20">
        <f>100000-36563.05</f>
        <v>63436.95</v>
      </c>
      <c r="T428" s="20"/>
      <c r="U428" s="20">
        <v>36563.05</v>
      </c>
      <c r="V428" s="20"/>
      <c r="W428" s="20"/>
      <c r="X428" s="20"/>
      <c r="Y428" s="118">
        <f t="shared" si="78"/>
        <v>0</v>
      </c>
      <c r="Z428" s="24">
        <f>17500+210936.95</f>
        <v>228436.95</v>
      </c>
      <c r="AA428" s="118">
        <f t="shared" si="74"/>
        <v>0</v>
      </c>
      <c r="AB428" s="118"/>
      <c r="AC428" s="24">
        <v>-36563.05</v>
      </c>
      <c r="AD428" s="118">
        <f t="shared" si="77"/>
        <v>-1.4551915228366852E-11</v>
      </c>
    </row>
    <row r="429" spans="1:30" ht="30.75">
      <c r="A429" s="185"/>
      <c r="B429" s="185"/>
      <c r="C429" s="185"/>
      <c r="D429" s="184"/>
      <c r="E429" s="102" t="s">
        <v>251</v>
      </c>
      <c r="F429" s="96">
        <v>2272</v>
      </c>
      <c r="G429" s="25">
        <v>2020</v>
      </c>
      <c r="H429" s="24">
        <v>257255</v>
      </c>
      <c r="I429" s="50">
        <v>0</v>
      </c>
      <c r="J429" s="58">
        <v>3122</v>
      </c>
      <c r="K429" s="24">
        <v>257255</v>
      </c>
      <c r="L429" s="35">
        <v>100</v>
      </c>
      <c r="M429" s="20"/>
      <c r="N429" s="20"/>
      <c r="O429" s="20"/>
      <c r="P429" s="20">
        <v>20000</v>
      </c>
      <c r="Q429" s="20"/>
      <c r="R429" s="20"/>
      <c r="S429" s="20">
        <f>137000+38748.44</f>
        <v>175748.44</v>
      </c>
      <c r="T429" s="20"/>
      <c r="U429" s="20">
        <f>100255-38748.44</f>
        <v>61506.56</v>
      </c>
      <c r="V429" s="20"/>
      <c r="W429" s="20"/>
      <c r="X429" s="20"/>
      <c r="Y429" s="118">
        <f t="shared" si="78"/>
        <v>0</v>
      </c>
      <c r="Z429" s="24">
        <f>16000+179748.44</f>
        <v>195748.44</v>
      </c>
      <c r="AA429" s="118">
        <f t="shared" si="74"/>
        <v>0</v>
      </c>
      <c r="AB429" s="118"/>
      <c r="AC429" s="24">
        <v>-61506.56</v>
      </c>
      <c r="AD429" s="118">
        <f t="shared" si="77"/>
        <v>0</v>
      </c>
    </row>
    <row r="430" spans="1:30" ht="46.5">
      <c r="A430" s="185"/>
      <c r="B430" s="185"/>
      <c r="C430" s="185"/>
      <c r="D430" s="184"/>
      <c r="E430" s="102" t="s">
        <v>735</v>
      </c>
      <c r="F430" s="97">
        <v>2273</v>
      </c>
      <c r="G430" s="25">
        <v>2020</v>
      </c>
      <c r="H430" s="24">
        <v>258750</v>
      </c>
      <c r="I430" s="50">
        <v>0</v>
      </c>
      <c r="J430" s="58">
        <v>3122</v>
      </c>
      <c r="K430" s="24">
        <v>258750</v>
      </c>
      <c r="L430" s="35">
        <v>100</v>
      </c>
      <c r="M430" s="20"/>
      <c r="N430" s="20"/>
      <c r="O430" s="20"/>
      <c r="P430" s="20">
        <v>20000</v>
      </c>
      <c r="Q430" s="20"/>
      <c r="R430" s="20"/>
      <c r="S430" s="20">
        <f>137000+39034.87</f>
        <v>176034.87</v>
      </c>
      <c r="T430" s="20"/>
      <c r="U430" s="20">
        <f>101750-39034.87</f>
        <v>62715.13</v>
      </c>
      <c r="V430" s="20"/>
      <c r="W430" s="20"/>
      <c r="X430" s="20"/>
      <c r="Y430" s="118">
        <f t="shared" si="78"/>
        <v>7.275957614183426E-12</v>
      </c>
      <c r="Z430" s="24">
        <f>17000+179034.87</f>
        <v>196034.87</v>
      </c>
      <c r="AA430" s="118">
        <f t="shared" si="74"/>
        <v>0</v>
      </c>
      <c r="AB430" s="118"/>
      <c r="AC430" s="24">
        <v>-62715.13</v>
      </c>
      <c r="AD430" s="118">
        <f t="shared" si="77"/>
        <v>7.275957614183426E-12</v>
      </c>
    </row>
    <row r="431" spans="1:30" ht="46.5">
      <c r="A431" s="185"/>
      <c r="B431" s="185"/>
      <c r="C431" s="185"/>
      <c r="D431" s="184"/>
      <c r="E431" s="102" t="s">
        <v>252</v>
      </c>
      <c r="F431" s="96">
        <v>2274</v>
      </c>
      <c r="G431" s="25">
        <v>2020</v>
      </c>
      <c r="H431" s="24">
        <v>247250</v>
      </c>
      <c r="I431" s="50">
        <v>0</v>
      </c>
      <c r="J431" s="58">
        <v>3122</v>
      </c>
      <c r="K431" s="24">
        <v>247250</v>
      </c>
      <c r="L431" s="35">
        <v>100</v>
      </c>
      <c r="M431" s="20"/>
      <c r="N431" s="20"/>
      <c r="O431" s="20"/>
      <c r="P431" s="20">
        <v>20000</v>
      </c>
      <c r="Q431" s="20"/>
      <c r="R431" s="20"/>
      <c r="S431" s="20">
        <f>127000+43427.74</f>
        <v>170427.74</v>
      </c>
      <c r="T431" s="20"/>
      <c r="U431" s="20">
        <f>100250-43427.74</f>
        <v>56822.26</v>
      </c>
      <c r="V431" s="20"/>
      <c r="W431" s="20"/>
      <c r="X431" s="20"/>
      <c r="Y431" s="118">
        <f t="shared" si="78"/>
        <v>7.275957614183426E-12</v>
      </c>
      <c r="Z431" s="24">
        <f>17000+173427.74</f>
        <v>190427.74</v>
      </c>
      <c r="AA431" s="118">
        <f t="shared" si="74"/>
        <v>0</v>
      </c>
      <c r="AB431" s="118"/>
      <c r="AC431" s="24">
        <v>-56822.26</v>
      </c>
      <c r="AD431" s="118">
        <f t="shared" si="77"/>
        <v>7.275957614183426E-12</v>
      </c>
    </row>
    <row r="432" spans="1:30" ht="46.5">
      <c r="A432" s="185"/>
      <c r="B432" s="185"/>
      <c r="C432" s="185"/>
      <c r="D432" s="184"/>
      <c r="E432" s="26" t="s">
        <v>262</v>
      </c>
      <c r="F432" s="97">
        <v>2275</v>
      </c>
      <c r="G432" s="25">
        <v>2020</v>
      </c>
      <c r="H432" s="24">
        <v>500000</v>
      </c>
      <c r="I432" s="50">
        <v>0</v>
      </c>
      <c r="J432" s="58">
        <v>3122</v>
      </c>
      <c r="K432" s="24">
        <v>500000</v>
      </c>
      <c r="L432" s="35">
        <v>100</v>
      </c>
      <c r="M432" s="20"/>
      <c r="N432" s="20"/>
      <c r="O432" s="20"/>
      <c r="P432" s="20">
        <v>35000</v>
      </c>
      <c r="Q432" s="20"/>
      <c r="R432" s="20"/>
      <c r="S432" s="20">
        <f>250000+171015.26</f>
        <v>421015.26</v>
      </c>
      <c r="T432" s="20"/>
      <c r="U432" s="20">
        <f>215000-171015.26</f>
        <v>43984.73999999999</v>
      </c>
      <c r="V432" s="20"/>
      <c r="W432" s="20"/>
      <c r="X432" s="20"/>
      <c r="Y432" s="118">
        <f t="shared" si="78"/>
        <v>0</v>
      </c>
      <c r="Z432" s="24">
        <f>30000+372015.26</f>
        <v>402015.26</v>
      </c>
      <c r="AA432" s="118">
        <f t="shared" si="74"/>
        <v>54000</v>
      </c>
      <c r="AB432" s="118"/>
      <c r="AC432" s="24">
        <v>-97984.74</v>
      </c>
      <c r="AD432" s="118">
        <f t="shared" si="77"/>
        <v>-1.4551915228366852E-11</v>
      </c>
    </row>
    <row r="433" spans="1:30" ht="30.75">
      <c r="A433" s="185"/>
      <c r="B433" s="185"/>
      <c r="C433" s="185"/>
      <c r="D433" s="184"/>
      <c r="E433" s="26" t="s">
        <v>263</v>
      </c>
      <c r="F433" s="96">
        <v>2276</v>
      </c>
      <c r="G433" s="25">
        <v>2020</v>
      </c>
      <c r="H433" s="24">
        <v>300000</v>
      </c>
      <c r="I433" s="50">
        <v>0</v>
      </c>
      <c r="J433" s="58">
        <v>3122</v>
      </c>
      <c r="K433" s="24">
        <v>300000</v>
      </c>
      <c r="L433" s="35">
        <v>100</v>
      </c>
      <c r="M433" s="20"/>
      <c r="N433" s="20"/>
      <c r="O433" s="20"/>
      <c r="P433" s="20">
        <v>25000</v>
      </c>
      <c r="Q433" s="20"/>
      <c r="R433" s="20"/>
      <c r="S433" s="20">
        <f>150000+111021.92</f>
        <v>261021.91999999998</v>
      </c>
      <c r="T433" s="20"/>
      <c r="U433" s="20">
        <f>125000-111021.92</f>
        <v>13978.080000000002</v>
      </c>
      <c r="V433" s="20"/>
      <c r="W433" s="20"/>
      <c r="X433" s="20"/>
      <c r="Y433" s="118">
        <f t="shared" si="78"/>
        <v>1.4551915228366852E-11</v>
      </c>
      <c r="Z433" s="24">
        <f>23000+263021.92</f>
        <v>286021.92</v>
      </c>
      <c r="AA433" s="118">
        <f t="shared" si="74"/>
        <v>0</v>
      </c>
      <c r="AB433" s="118"/>
      <c r="AC433" s="24">
        <v>-13978.08</v>
      </c>
      <c r="AD433" s="118">
        <f t="shared" si="77"/>
        <v>1.6370904631912708E-11</v>
      </c>
    </row>
    <row r="434" spans="1:30" ht="46.5">
      <c r="A434" s="185"/>
      <c r="B434" s="185"/>
      <c r="C434" s="185"/>
      <c r="D434" s="184"/>
      <c r="E434" s="63" t="s">
        <v>248</v>
      </c>
      <c r="F434" s="97">
        <v>2277</v>
      </c>
      <c r="G434" s="25">
        <v>2020</v>
      </c>
      <c r="H434" s="20">
        <v>885500</v>
      </c>
      <c r="I434" s="50">
        <v>0</v>
      </c>
      <c r="J434" s="58">
        <v>3122</v>
      </c>
      <c r="K434" s="20">
        <v>885500</v>
      </c>
      <c r="L434" s="35">
        <v>100</v>
      </c>
      <c r="M434" s="20"/>
      <c r="N434" s="20"/>
      <c r="O434" s="20"/>
      <c r="P434" s="20">
        <v>60000</v>
      </c>
      <c r="Q434" s="20"/>
      <c r="R434" s="20"/>
      <c r="S434" s="20">
        <f>400000+314590.87</f>
        <v>714590.87</v>
      </c>
      <c r="T434" s="20"/>
      <c r="U434" s="20">
        <f>425500-314590.87</f>
        <v>110909.13</v>
      </c>
      <c r="V434" s="20"/>
      <c r="W434" s="20"/>
      <c r="X434" s="20"/>
      <c r="Y434" s="118">
        <f t="shared" si="78"/>
        <v>0</v>
      </c>
      <c r="Z434" s="24">
        <f>50000+724590.87</f>
        <v>774590.87</v>
      </c>
      <c r="AA434" s="118">
        <f t="shared" si="74"/>
        <v>0</v>
      </c>
      <c r="AB434" s="118"/>
      <c r="AC434" s="24">
        <v>-110909.13</v>
      </c>
      <c r="AD434" s="118">
        <f t="shared" si="77"/>
        <v>0</v>
      </c>
    </row>
    <row r="435" spans="1:30" ht="30.75">
      <c r="A435" s="185"/>
      <c r="B435" s="185"/>
      <c r="C435" s="185"/>
      <c r="D435" s="184"/>
      <c r="E435" s="26" t="s">
        <v>643</v>
      </c>
      <c r="F435" s="96">
        <v>2278</v>
      </c>
      <c r="G435" s="25">
        <v>2020</v>
      </c>
      <c r="H435" s="24">
        <v>590000</v>
      </c>
      <c r="I435" s="50">
        <v>0</v>
      </c>
      <c r="J435" s="58">
        <v>3122</v>
      </c>
      <c r="K435" s="24">
        <f>590000-490000</f>
        <v>100000</v>
      </c>
      <c r="L435" s="35">
        <v>100</v>
      </c>
      <c r="M435" s="20"/>
      <c r="N435" s="20"/>
      <c r="O435" s="20"/>
      <c r="P435" s="20">
        <v>50000</v>
      </c>
      <c r="Q435" s="20"/>
      <c r="R435" s="20"/>
      <c r="S435" s="20">
        <f>270000-220000-65000</f>
        <v>-15000</v>
      </c>
      <c r="T435" s="20"/>
      <c r="U435" s="20">
        <f>270000-270000+65000</f>
        <v>65000</v>
      </c>
      <c r="V435" s="20"/>
      <c r="W435" s="20"/>
      <c r="X435" s="20"/>
      <c r="Y435" s="118">
        <f t="shared" si="78"/>
        <v>0</v>
      </c>
      <c r="Z435" s="24">
        <f>35000</f>
        <v>35000</v>
      </c>
      <c r="AA435" s="118">
        <f t="shared" si="74"/>
        <v>0</v>
      </c>
      <c r="AB435" s="118"/>
      <c r="AC435" s="24"/>
      <c r="AD435" s="118">
        <f t="shared" si="77"/>
        <v>65000</v>
      </c>
    </row>
    <row r="436" spans="1:30" ht="45" customHeight="1">
      <c r="A436" s="185"/>
      <c r="B436" s="185"/>
      <c r="C436" s="185"/>
      <c r="D436" s="184"/>
      <c r="E436" s="26" t="s">
        <v>265</v>
      </c>
      <c r="F436" s="97">
        <v>2279</v>
      </c>
      <c r="G436" s="25">
        <v>2020</v>
      </c>
      <c r="H436" s="24">
        <v>400000</v>
      </c>
      <c r="I436" s="50">
        <v>0</v>
      </c>
      <c r="J436" s="58">
        <v>3122</v>
      </c>
      <c r="K436" s="24">
        <v>400000</v>
      </c>
      <c r="L436" s="35">
        <v>100</v>
      </c>
      <c r="M436" s="24"/>
      <c r="N436" s="24"/>
      <c r="O436" s="24"/>
      <c r="P436" s="24">
        <v>30000</v>
      </c>
      <c r="Q436" s="24"/>
      <c r="R436" s="24"/>
      <c r="S436" s="24">
        <f>200000+70468.88</f>
        <v>270468.88</v>
      </c>
      <c r="T436" s="24"/>
      <c r="U436" s="24">
        <f>170000-70468.88</f>
        <v>99531.12</v>
      </c>
      <c r="V436" s="24"/>
      <c r="W436" s="24"/>
      <c r="X436" s="24"/>
      <c r="Y436" s="118">
        <f t="shared" si="78"/>
        <v>0</v>
      </c>
      <c r="Z436" s="24">
        <f>23000+277468.88</f>
        <v>300468.88</v>
      </c>
      <c r="AA436" s="118">
        <f t="shared" si="74"/>
        <v>0</v>
      </c>
      <c r="AB436" s="118"/>
      <c r="AC436" s="24">
        <v>-99531.12</v>
      </c>
      <c r="AD436" s="118">
        <f t="shared" si="77"/>
        <v>0</v>
      </c>
    </row>
    <row r="437" spans="1:30" ht="30.75">
      <c r="A437" s="185"/>
      <c r="B437" s="185"/>
      <c r="C437" s="185"/>
      <c r="D437" s="184"/>
      <c r="E437" s="26" t="s">
        <v>259</v>
      </c>
      <c r="F437" s="96">
        <v>2280</v>
      </c>
      <c r="G437" s="25">
        <v>2020</v>
      </c>
      <c r="H437" s="24">
        <v>975000</v>
      </c>
      <c r="I437" s="50">
        <v>0</v>
      </c>
      <c r="J437" s="58">
        <v>3122</v>
      </c>
      <c r="K437" s="24">
        <f>975000-875000</f>
        <v>100000</v>
      </c>
      <c r="L437" s="35">
        <v>100</v>
      </c>
      <c r="M437" s="24"/>
      <c r="N437" s="24"/>
      <c r="O437" s="24"/>
      <c r="P437" s="24">
        <v>70000</v>
      </c>
      <c r="Q437" s="24"/>
      <c r="R437" s="24"/>
      <c r="S437" s="24">
        <f>450000-420000-40000</f>
        <v>-10000</v>
      </c>
      <c r="T437" s="24"/>
      <c r="U437" s="24">
        <f>455000-455000+40000</f>
        <v>40000</v>
      </c>
      <c r="V437" s="24"/>
      <c r="W437" s="24"/>
      <c r="X437" s="24"/>
      <c r="Y437" s="118">
        <f t="shared" si="78"/>
        <v>0</v>
      </c>
      <c r="Z437" s="24">
        <f>60000</f>
        <v>60000</v>
      </c>
      <c r="AA437" s="118">
        <f t="shared" si="74"/>
        <v>0</v>
      </c>
      <c r="AB437" s="118"/>
      <c r="AC437" s="24"/>
      <c r="AD437" s="118">
        <f t="shared" si="77"/>
        <v>40000</v>
      </c>
    </row>
    <row r="438" spans="1:30" ht="46.5">
      <c r="A438" s="185"/>
      <c r="B438" s="185"/>
      <c r="C438" s="185"/>
      <c r="D438" s="184"/>
      <c r="E438" s="102" t="s">
        <v>737</v>
      </c>
      <c r="F438" s="97">
        <v>2281</v>
      </c>
      <c r="G438" s="25">
        <v>2020</v>
      </c>
      <c r="H438" s="24">
        <v>519800</v>
      </c>
      <c r="I438" s="50">
        <v>0</v>
      </c>
      <c r="J438" s="58">
        <v>3122</v>
      </c>
      <c r="K438" s="24">
        <f>519800-245000</f>
        <v>274800</v>
      </c>
      <c r="L438" s="35">
        <v>100</v>
      </c>
      <c r="M438" s="24"/>
      <c r="N438" s="24"/>
      <c r="O438" s="24"/>
      <c r="P438" s="24">
        <f>35000+5000</f>
        <v>40000</v>
      </c>
      <c r="Q438" s="24"/>
      <c r="R438" s="24"/>
      <c r="S438" s="24">
        <f>250000-245000-5000+223768.13</f>
        <v>223768.13</v>
      </c>
      <c r="T438" s="24"/>
      <c r="U438" s="24">
        <f>234800-223768.13</f>
        <v>11031.869999999995</v>
      </c>
      <c r="V438" s="24"/>
      <c r="W438" s="24"/>
      <c r="X438" s="24"/>
      <c r="Y438" s="118">
        <f t="shared" si="78"/>
        <v>0</v>
      </c>
      <c r="Z438" s="24">
        <f>40000+223768.13</f>
        <v>263768.13</v>
      </c>
      <c r="AA438" s="118">
        <f t="shared" si="74"/>
        <v>0</v>
      </c>
      <c r="AB438" s="118"/>
      <c r="AC438" s="24">
        <v>-11031.87</v>
      </c>
      <c r="AD438" s="118">
        <f t="shared" si="77"/>
        <v>-5.4569682106375694E-12</v>
      </c>
    </row>
    <row r="439" spans="1:30" ht="30.75">
      <c r="A439" s="185"/>
      <c r="B439" s="185"/>
      <c r="C439" s="185"/>
      <c r="D439" s="184"/>
      <c r="E439" s="19" t="s">
        <v>258</v>
      </c>
      <c r="F439" s="96">
        <v>2282</v>
      </c>
      <c r="G439" s="25">
        <v>2020</v>
      </c>
      <c r="H439" s="20">
        <v>650000</v>
      </c>
      <c r="I439" s="50">
        <v>0</v>
      </c>
      <c r="J439" s="58">
        <v>3122</v>
      </c>
      <c r="K439" s="20">
        <v>650000</v>
      </c>
      <c r="L439" s="35">
        <v>100</v>
      </c>
      <c r="M439" s="24"/>
      <c r="N439" s="24"/>
      <c r="O439" s="24"/>
      <c r="P439" s="24">
        <v>50000</v>
      </c>
      <c r="Q439" s="24"/>
      <c r="R439" s="24"/>
      <c r="S439" s="24">
        <f>300000+102830.59</f>
        <v>402830.58999999997</v>
      </c>
      <c r="T439" s="24"/>
      <c r="U439" s="24">
        <f>300000-102830.59</f>
        <v>197169.41</v>
      </c>
      <c r="V439" s="24"/>
      <c r="W439" s="24"/>
      <c r="X439" s="24"/>
      <c r="Y439" s="118">
        <f t="shared" si="78"/>
        <v>2.9103830456733704E-11</v>
      </c>
      <c r="Z439" s="24">
        <f>33000+419830.59</f>
        <v>452830.59</v>
      </c>
      <c r="AA439" s="118">
        <f t="shared" si="74"/>
        <v>0</v>
      </c>
      <c r="AB439" s="118"/>
      <c r="AC439" s="24">
        <v>-197169.41</v>
      </c>
      <c r="AD439" s="118">
        <f t="shared" si="77"/>
        <v>-2.9103830456733704E-11</v>
      </c>
    </row>
    <row r="440" spans="1:30" ht="30.75">
      <c r="A440" s="185"/>
      <c r="B440" s="185"/>
      <c r="C440" s="185"/>
      <c r="D440" s="184"/>
      <c r="E440" s="26" t="s">
        <v>260</v>
      </c>
      <c r="F440" s="97">
        <v>2283</v>
      </c>
      <c r="G440" s="25">
        <v>2020</v>
      </c>
      <c r="H440" s="24">
        <v>785000</v>
      </c>
      <c r="I440" s="50">
        <v>0</v>
      </c>
      <c r="J440" s="58">
        <v>3122</v>
      </c>
      <c r="K440" s="24">
        <f>785000-685000</f>
        <v>100000</v>
      </c>
      <c r="L440" s="35">
        <v>100</v>
      </c>
      <c r="M440" s="24"/>
      <c r="N440" s="24"/>
      <c r="O440" s="24"/>
      <c r="P440" s="24">
        <v>60000</v>
      </c>
      <c r="Q440" s="24"/>
      <c r="R440" s="24"/>
      <c r="S440" s="24">
        <f>375000-335000-59000</f>
        <v>-19000</v>
      </c>
      <c r="T440" s="24"/>
      <c r="U440" s="24">
        <f>350000-350000+59000</f>
        <v>59000</v>
      </c>
      <c r="V440" s="24"/>
      <c r="W440" s="24"/>
      <c r="X440" s="24"/>
      <c r="Y440" s="118">
        <f t="shared" si="78"/>
        <v>0</v>
      </c>
      <c r="Z440" s="24">
        <f>41000</f>
        <v>41000</v>
      </c>
      <c r="AA440" s="118">
        <f t="shared" si="74"/>
        <v>0</v>
      </c>
      <c r="AB440" s="118"/>
      <c r="AC440" s="24"/>
      <c r="AD440" s="118">
        <f t="shared" si="77"/>
        <v>59000</v>
      </c>
    </row>
    <row r="441" spans="1:30" ht="46.5">
      <c r="A441" s="185"/>
      <c r="B441" s="185"/>
      <c r="C441" s="185"/>
      <c r="D441" s="184"/>
      <c r="E441" s="19" t="s">
        <v>257</v>
      </c>
      <c r="F441" s="96">
        <v>2284</v>
      </c>
      <c r="G441" s="25">
        <v>2020</v>
      </c>
      <c r="H441" s="20">
        <v>1400000</v>
      </c>
      <c r="I441" s="50">
        <v>0</v>
      </c>
      <c r="J441" s="58">
        <v>3122</v>
      </c>
      <c r="K441" s="20">
        <v>1400000</v>
      </c>
      <c r="L441" s="35">
        <v>100</v>
      </c>
      <c r="M441" s="24"/>
      <c r="N441" s="24"/>
      <c r="O441" s="24"/>
      <c r="P441" s="24">
        <v>100000</v>
      </c>
      <c r="Q441" s="24"/>
      <c r="R441" s="24"/>
      <c r="S441" s="24">
        <f>650000-20043.47</f>
        <v>629956.53</v>
      </c>
      <c r="T441" s="24"/>
      <c r="U441" s="24">
        <f>650000+20043.47</f>
        <v>670043.47</v>
      </c>
      <c r="V441" s="24"/>
      <c r="W441" s="24"/>
      <c r="X441" s="24"/>
      <c r="Y441" s="118">
        <f t="shared" si="78"/>
        <v>0</v>
      </c>
      <c r="Z441" s="24">
        <f>48000+681956.53</f>
        <v>729956.53</v>
      </c>
      <c r="AA441" s="118">
        <f t="shared" si="74"/>
        <v>0</v>
      </c>
      <c r="AB441" s="118"/>
      <c r="AC441" s="24">
        <v>-670043.47</v>
      </c>
      <c r="AD441" s="118">
        <f t="shared" si="77"/>
        <v>0</v>
      </c>
    </row>
    <row r="442" spans="1:30" ht="30.75">
      <c r="A442" s="185"/>
      <c r="B442" s="185"/>
      <c r="C442" s="185"/>
      <c r="D442" s="184"/>
      <c r="E442" s="26" t="s">
        <v>244</v>
      </c>
      <c r="F442" s="97">
        <v>2285</v>
      </c>
      <c r="G442" s="25">
        <v>2020</v>
      </c>
      <c r="H442" s="24">
        <v>634829.13</v>
      </c>
      <c r="I442" s="50">
        <v>0</v>
      </c>
      <c r="J442" s="58">
        <v>3122</v>
      </c>
      <c r="K442" s="24">
        <v>634829.13</v>
      </c>
      <c r="L442" s="35">
        <v>100</v>
      </c>
      <c r="M442" s="24"/>
      <c r="N442" s="24"/>
      <c r="O442" s="24"/>
      <c r="P442" s="24">
        <v>50000</v>
      </c>
      <c r="Q442" s="24"/>
      <c r="R442" s="24"/>
      <c r="S442" s="24">
        <f>300000+284829.13</f>
        <v>584829.13</v>
      </c>
      <c r="T442" s="24"/>
      <c r="U442" s="24">
        <f>284829.13-284829.13</f>
        <v>0</v>
      </c>
      <c r="V442" s="24"/>
      <c r="W442" s="24"/>
      <c r="X442" s="24"/>
      <c r="Y442" s="118">
        <f t="shared" si="78"/>
        <v>0</v>
      </c>
      <c r="Z442" s="24">
        <f>49000+585829.13</f>
        <v>634829.13</v>
      </c>
      <c r="AA442" s="118">
        <f t="shared" si="74"/>
        <v>0</v>
      </c>
      <c r="AB442" s="118"/>
      <c r="AC442" s="24"/>
      <c r="AD442" s="118">
        <f t="shared" si="77"/>
        <v>0</v>
      </c>
    </row>
    <row r="443" spans="1:30" ht="30.75">
      <c r="A443" s="185"/>
      <c r="B443" s="185"/>
      <c r="C443" s="185"/>
      <c r="D443" s="184"/>
      <c r="E443" s="26" t="s">
        <v>839</v>
      </c>
      <c r="F443" s="97">
        <v>2600</v>
      </c>
      <c r="G443" s="25"/>
      <c r="H443" s="24"/>
      <c r="I443" s="50"/>
      <c r="J443" s="58">
        <v>3122</v>
      </c>
      <c r="K443" s="24">
        <f>900000</f>
        <v>900000</v>
      </c>
      <c r="L443" s="35"/>
      <c r="M443" s="24"/>
      <c r="N443" s="24"/>
      <c r="O443" s="24"/>
      <c r="P443" s="24">
        <f>50000</f>
        <v>50000</v>
      </c>
      <c r="Q443" s="24"/>
      <c r="R443" s="24"/>
      <c r="S443" s="24">
        <f>850000-497710.85</f>
        <v>352289.15</v>
      </c>
      <c r="T443" s="24"/>
      <c r="U443" s="24">
        <v>497710.85</v>
      </c>
      <c r="V443" s="24"/>
      <c r="W443" s="24"/>
      <c r="X443" s="24"/>
      <c r="Y443" s="118">
        <f t="shared" si="78"/>
        <v>0</v>
      </c>
      <c r="Z443" s="24">
        <f>30000+372289.15</f>
        <v>402289.15</v>
      </c>
      <c r="AA443" s="118">
        <f t="shared" si="74"/>
        <v>0</v>
      </c>
      <c r="AB443" s="118"/>
      <c r="AC443" s="24">
        <v>-497710.85</v>
      </c>
      <c r="AD443" s="118">
        <f t="shared" si="77"/>
        <v>0</v>
      </c>
    </row>
    <row r="444" spans="1:30" ht="30.75">
      <c r="A444" s="185"/>
      <c r="B444" s="185"/>
      <c r="C444" s="185"/>
      <c r="D444" s="184"/>
      <c r="E444" s="26" t="s">
        <v>840</v>
      </c>
      <c r="F444" s="97">
        <v>2601</v>
      </c>
      <c r="G444" s="25"/>
      <c r="H444" s="24"/>
      <c r="I444" s="50"/>
      <c r="J444" s="58">
        <v>3122</v>
      </c>
      <c r="K444" s="24">
        <f>854105</f>
        <v>854105</v>
      </c>
      <c r="L444" s="35"/>
      <c r="M444" s="24"/>
      <c r="N444" s="24"/>
      <c r="O444" s="24"/>
      <c r="P444" s="24">
        <f>50000</f>
        <v>50000</v>
      </c>
      <c r="Q444" s="24"/>
      <c r="R444" s="24"/>
      <c r="S444" s="24">
        <f>804105-452165.58</f>
        <v>351939.42</v>
      </c>
      <c r="T444" s="24"/>
      <c r="U444" s="24">
        <v>452165.58</v>
      </c>
      <c r="V444" s="24"/>
      <c r="W444" s="24"/>
      <c r="X444" s="24"/>
      <c r="Y444" s="118">
        <f t="shared" si="78"/>
        <v>0</v>
      </c>
      <c r="Z444" s="24">
        <f>30000+371939.42</f>
        <v>401939.42</v>
      </c>
      <c r="AA444" s="118">
        <f t="shared" si="74"/>
        <v>0</v>
      </c>
      <c r="AB444" s="118"/>
      <c r="AC444" s="24">
        <v>-452165.58</v>
      </c>
      <c r="AD444" s="118">
        <f t="shared" si="77"/>
        <v>0</v>
      </c>
    </row>
    <row r="445" spans="1:30" ht="46.5">
      <c r="A445" s="185"/>
      <c r="B445" s="185"/>
      <c r="C445" s="185"/>
      <c r="D445" s="184"/>
      <c r="E445" s="63" t="s">
        <v>253</v>
      </c>
      <c r="F445" s="96">
        <v>2286</v>
      </c>
      <c r="G445" s="25">
        <v>2020</v>
      </c>
      <c r="H445" s="24">
        <v>520000</v>
      </c>
      <c r="I445" s="50">
        <v>0</v>
      </c>
      <c r="J445" s="58">
        <v>3122</v>
      </c>
      <c r="K445" s="24">
        <v>520000</v>
      </c>
      <c r="L445" s="35">
        <v>100</v>
      </c>
      <c r="M445" s="24"/>
      <c r="N445" s="24"/>
      <c r="O445" s="24"/>
      <c r="P445" s="24">
        <v>40000</v>
      </c>
      <c r="Q445" s="24"/>
      <c r="R445" s="24"/>
      <c r="S445" s="24">
        <f>240000-225377.13+415113.4</f>
        <v>429736.27</v>
      </c>
      <c r="T445" s="24"/>
      <c r="U445" s="24">
        <f>240000+225377.13-415113.4</f>
        <v>50263.72999999998</v>
      </c>
      <c r="V445" s="24"/>
      <c r="W445" s="24"/>
      <c r="X445" s="24"/>
      <c r="Y445" s="118">
        <f t="shared" si="78"/>
        <v>0</v>
      </c>
      <c r="Z445" s="24">
        <f>32000+437736.27</f>
        <v>469736.27</v>
      </c>
      <c r="AA445" s="118">
        <f t="shared" si="74"/>
        <v>0</v>
      </c>
      <c r="AB445" s="118"/>
      <c r="AC445" s="24">
        <v>-50263.73</v>
      </c>
      <c r="AD445" s="118">
        <f t="shared" si="77"/>
        <v>-2.1827872842550278E-11</v>
      </c>
    </row>
    <row r="446" spans="1:30" ht="46.5">
      <c r="A446" s="185"/>
      <c r="B446" s="185"/>
      <c r="C446" s="185"/>
      <c r="D446" s="184"/>
      <c r="E446" s="26" t="s">
        <v>254</v>
      </c>
      <c r="F446" s="97">
        <v>2287</v>
      </c>
      <c r="G446" s="25">
        <v>2020</v>
      </c>
      <c r="H446" s="24">
        <v>1580000</v>
      </c>
      <c r="I446" s="50">
        <v>0</v>
      </c>
      <c r="J446" s="58">
        <v>3122</v>
      </c>
      <c r="K446" s="24">
        <v>1580000</v>
      </c>
      <c r="L446" s="35">
        <v>100</v>
      </c>
      <c r="M446" s="24"/>
      <c r="N446" s="24"/>
      <c r="O446" s="24"/>
      <c r="P446" s="24">
        <v>100000</v>
      </c>
      <c r="Q446" s="24"/>
      <c r="R446" s="24"/>
      <c r="S446" s="24">
        <f>800000+599771.7</f>
        <v>1399771.7</v>
      </c>
      <c r="T446" s="24"/>
      <c r="U446" s="24">
        <f>680000-599771.7</f>
        <v>80228.30000000005</v>
      </c>
      <c r="V446" s="24"/>
      <c r="W446" s="24"/>
      <c r="X446" s="24"/>
      <c r="Y446" s="118">
        <f t="shared" si="78"/>
        <v>0</v>
      </c>
      <c r="Z446" s="24">
        <f>85000+1414771.7</f>
        <v>1499771.7</v>
      </c>
      <c r="AA446" s="118">
        <f t="shared" si="74"/>
        <v>0</v>
      </c>
      <c r="AB446" s="118"/>
      <c r="AC446" s="24">
        <v>-80228.3</v>
      </c>
      <c r="AD446" s="118">
        <f t="shared" si="77"/>
        <v>4.3655745685100555E-11</v>
      </c>
    </row>
    <row r="447" spans="1:30" ht="36" customHeight="1">
      <c r="A447" s="185"/>
      <c r="B447" s="185"/>
      <c r="C447" s="185"/>
      <c r="D447" s="184"/>
      <c r="E447" s="26" t="s">
        <v>282</v>
      </c>
      <c r="F447" s="96">
        <v>2288</v>
      </c>
      <c r="G447" s="25">
        <v>2020</v>
      </c>
      <c r="H447" s="24">
        <v>445423.29</v>
      </c>
      <c r="I447" s="50">
        <v>0</v>
      </c>
      <c r="J447" s="58">
        <v>3122</v>
      </c>
      <c r="K447" s="24">
        <v>445423.29</v>
      </c>
      <c r="L447" s="35">
        <v>100</v>
      </c>
      <c r="M447" s="24"/>
      <c r="N447" s="24">
        <v>445423.29</v>
      </c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118">
        <f t="shared" si="78"/>
        <v>0</v>
      </c>
      <c r="Z447" s="24">
        <f>445423.29</f>
        <v>445423.29</v>
      </c>
      <c r="AA447" s="118">
        <f t="shared" si="74"/>
        <v>0</v>
      </c>
      <c r="AB447" s="118"/>
      <c r="AC447" s="24"/>
      <c r="AD447" s="118">
        <f t="shared" si="77"/>
        <v>0</v>
      </c>
    </row>
    <row r="448" spans="1:30" ht="30.75">
      <c r="A448" s="185"/>
      <c r="B448" s="185"/>
      <c r="C448" s="185"/>
      <c r="D448" s="184"/>
      <c r="E448" s="26" t="s">
        <v>750</v>
      </c>
      <c r="F448" s="97">
        <v>2289</v>
      </c>
      <c r="G448" s="25" t="s">
        <v>201</v>
      </c>
      <c r="H448" s="20">
        <v>110000</v>
      </c>
      <c r="I448" s="50">
        <v>9.090909090909093</v>
      </c>
      <c r="J448" s="58">
        <v>3122</v>
      </c>
      <c r="K448" s="24">
        <v>65000</v>
      </c>
      <c r="L448" s="35">
        <v>100</v>
      </c>
      <c r="M448" s="24"/>
      <c r="N448" s="24">
        <v>10000</v>
      </c>
      <c r="O448" s="24">
        <f>55000</f>
        <v>55000</v>
      </c>
      <c r="P448" s="24"/>
      <c r="Q448" s="24"/>
      <c r="R448" s="24"/>
      <c r="S448" s="24"/>
      <c r="T448" s="24">
        <f>65000-10000-55000</f>
        <v>0</v>
      </c>
      <c r="U448" s="24"/>
      <c r="V448" s="24"/>
      <c r="W448" s="24"/>
      <c r="X448" s="24"/>
      <c r="Y448" s="118">
        <f t="shared" si="78"/>
        <v>0</v>
      </c>
      <c r="Z448" s="24">
        <f>9244.7+50992.5+666.86</f>
        <v>60904.06</v>
      </c>
      <c r="AA448" s="118">
        <f t="shared" si="74"/>
        <v>4095.9400000000023</v>
      </c>
      <c r="AB448" s="118"/>
      <c r="AC448" s="24"/>
      <c r="AD448" s="118">
        <f t="shared" si="77"/>
        <v>4095.9400000000023</v>
      </c>
    </row>
    <row r="449" spans="1:30" ht="30.75">
      <c r="A449" s="185"/>
      <c r="B449" s="185"/>
      <c r="C449" s="185"/>
      <c r="D449" s="184"/>
      <c r="E449" s="26" t="s">
        <v>281</v>
      </c>
      <c r="F449" s="96">
        <v>2290</v>
      </c>
      <c r="G449" s="25" t="s">
        <v>201</v>
      </c>
      <c r="H449" s="20">
        <v>110000</v>
      </c>
      <c r="I449" s="50">
        <v>9.090909090909093</v>
      </c>
      <c r="J449" s="58">
        <v>3122</v>
      </c>
      <c r="K449" s="24">
        <f>69510-62873.48</f>
        <v>6636.519999999997</v>
      </c>
      <c r="L449" s="35">
        <v>100</v>
      </c>
      <c r="M449" s="24"/>
      <c r="N449" s="24">
        <v>10000</v>
      </c>
      <c r="O449" s="24">
        <v>-3363.48</v>
      </c>
      <c r="P449" s="24"/>
      <c r="Q449" s="24"/>
      <c r="R449" s="24"/>
      <c r="S449" s="24"/>
      <c r="T449" s="24">
        <f>69510-10000-59510</f>
        <v>0</v>
      </c>
      <c r="U449" s="24"/>
      <c r="V449" s="24"/>
      <c r="W449" s="24"/>
      <c r="X449" s="24"/>
      <c r="Y449" s="118">
        <f t="shared" si="78"/>
        <v>-3.183231456205249E-12</v>
      </c>
      <c r="Z449" s="24">
        <f>6636.52</f>
        <v>6636.52</v>
      </c>
      <c r="AA449" s="118">
        <f t="shared" si="74"/>
        <v>0</v>
      </c>
      <c r="AB449" s="118"/>
      <c r="AC449" s="24"/>
      <c r="AD449" s="118">
        <f t="shared" si="77"/>
        <v>-3.637978807091713E-12</v>
      </c>
    </row>
    <row r="450" spans="1:30" ht="37.5" customHeight="1">
      <c r="A450" s="185"/>
      <c r="B450" s="185"/>
      <c r="C450" s="185"/>
      <c r="D450" s="184"/>
      <c r="E450" s="26" t="s">
        <v>286</v>
      </c>
      <c r="F450" s="97">
        <v>2291</v>
      </c>
      <c r="G450" s="25">
        <v>2020</v>
      </c>
      <c r="H450" s="24">
        <v>100000</v>
      </c>
      <c r="I450" s="50">
        <v>0</v>
      </c>
      <c r="J450" s="58">
        <v>3122</v>
      </c>
      <c r="K450" s="24">
        <v>100000</v>
      </c>
      <c r="L450" s="35">
        <v>100</v>
      </c>
      <c r="M450" s="24"/>
      <c r="N450" s="24">
        <v>10000</v>
      </c>
      <c r="O450" s="24">
        <f>90000</f>
        <v>90000</v>
      </c>
      <c r="P450" s="24"/>
      <c r="Q450" s="24"/>
      <c r="R450" s="24"/>
      <c r="S450" s="24"/>
      <c r="T450" s="24">
        <f>100000-10000-90000</f>
        <v>0</v>
      </c>
      <c r="U450" s="24"/>
      <c r="V450" s="24"/>
      <c r="W450" s="24"/>
      <c r="X450" s="24"/>
      <c r="Y450" s="118">
        <f t="shared" si="78"/>
        <v>0</v>
      </c>
      <c r="Z450" s="24">
        <f>8823.97+87363+1129.06</f>
        <v>97316.03</v>
      </c>
      <c r="AA450" s="118">
        <f t="shared" si="74"/>
        <v>2683.970000000001</v>
      </c>
      <c r="AB450" s="118"/>
      <c r="AC450" s="24"/>
      <c r="AD450" s="118">
        <f t="shared" si="77"/>
        <v>2683.970000000001</v>
      </c>
    </row>
    <row r="451" spans="1:30" ht="37.5" customHeight="1">
      <c r="A451" s="185"/>
      <c r="B451" s="185"/>
      <c r="C451" s="185"/>
      <c r="D451" s="184"/>
      <c r="E451" s="26" t="s">
        <v>889</v>
      </c>
      <c r="F451" s="97">
        <v>2615</v>
      </c>
      <c r="G451" s="25"/>
      <c r="H451" s="24"/>
      <c r="I451" s="50"/>
      <c r="J451" s="58">
        <v>3122</v>
      </c>
      <c r="K451" s="24">
        <v>130000</v>
      </c>
      <c r="L451" s="35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>
        <v>130000</v>
      </c>
      <c r="Y451" s="118">
        <f t="shared" si="78"/>
        <v>0</v>
      </c>
      <c r="Z451" s="24"/>
      <c r="AA451" s="118">
        <f t="shared" si="74"/>
        <v>0</v>
      </c>
      <c r="AB451" s="118"/>
      <c r="AC451" s="24"/>
      <c r="AD451" s="118">
        <f t="shared" si="77"/>
        <v>130000</v>
      </c>
    </row>
    <row r="452" spans="1:30" ht="30.75">
      <c r="A452" s="185"/>
      <c r="B452" s="185"/>
      <c r="C452" s="185"/>
      <c r="D452" s="184"/>
      <c r="E452" s="26" t="s">
        <v>285</v>
      </c>
      <c r="F452" s="96">
        <v>2292</v>
      </c>
      <c r="G452" s="20" t="s">
        <v>201</v>
      </c>
      <c r="H452" s="20">
        <v>110000</v>
      </c>
      <c r="I452" s="50">
        <v>9.090909090909093</v>
      </c>
      <c r="J452" s="58">
        <v>3122</v>
      </c>
      <c r="K452" s="24">
        <v>100000</v>
      </c>
      <c r="L452" s="35">
        <v>100</v>
      </c>
      <c r="M452" s="24"/>
      <c r="N452" s="24">
        <v>10000</v>
      </c>
      <c r="O452" s="24">
        <f>90000</f>
        <v>90000</v>
      </c>
      <c r="P452" s="24"/>
      <c r="Q452" s="24"/>
      <c r="R452" s="24"/>
      <c r="S452" s="24"/>
      <c r="T452" s="24">
        <f>100000-10000-90000</f>
        <v>0</v>
      </c>
      <c r="U452" s="24"/>
      <c r="V452" s="24"/>
      <c r="W452" s="24"/>
      <c r="X452" s="24"/>
      <c r="Y452" s="118">
        <f t="shared" si="78"/>
        <v>0</v>
      </c>
      <c r="Z452" s="24">
        <f>7765.43+74096+962.44</f>
        <v>82823.87</v>
      </c>
      <c r="AA452" s="118">
        <f t="shared" si="74"/>
        <v>17176.130000000005</v>
      </c>
      <c r="AB452" s="118"/>
      <c r="AC452" s="24"/>
      <c r="AD452" s="118">
        <f t="shared" si="77"/>
        <v>17176.130000000005</v>
      </c>
    </row>
    <row r="453" spans="1:30" ht="30.75">
      <c r="A453" s="185"/>
      <c r="B453" s="185"/>
      <c r="C453" s="185"/>
      <c r="D453" s="184"/>
      <c r="E453" s="26" t="s">
        <v>283</v>
      </c>
      <c r="F453" s="97">
        <v>2293</v>
      </c>
      <c r="G453" s="25" t="s">
        <v>201</v>
      </c>
      <c r="H453" s="20">
        <v>110000</v>
      </c>
      <c r="I453" s="50">
        <v>9.090909090909093</v>
      </c>
      <c r="J453" s="58">
        <v>3122</v>
      </c>
      <c r="K453" s="24">
        <v>75000</v>
      </c>
      <c r="L453" s="35">
        <v>100</v>
      </c>
      <c r="M453" s="24"/>
      <c r="N453" s="24">
        <v>10000</v>
      </c>
      <c r="O453" s="24"/>
      <c r="P453" s="24"/>
      <c r="Q453" s="24">
        <f>65000</f>
        <v>65000</v>
      </c>
      <c r="R453" s="24"/>
      <c r="S453" s="24"/>
      <c r="T453" s="24">
        <f>75000-10000-65000</f>
        <v>0</v>
      </c>
      <c r="U453" s="24"/>
      <c r="V453" s="24"/>
      <c r="W453" s="24"/>
      <c r="X453" s="24"/>
      <c r="Y453" s="118">
        <f t="shared" si="78"/>
        <v>0</v>
      </c>
      <c r="Z453" s="24">
        <f>4934.29+69210.2+770</f>
        <v>74914.48999999999</v>
      </c>
      <c r="AA453" s="118">
        <f t="shared" si="74"/>
        <v>85.51000000000931</v>
      </c>
      <c r="AB453" s="118"/>
      <c r="AC453" s="24"/>
      <c r="AD453" s="118">
        <f t="shared" si="77"/>
        <v>85.51000000000931</v>
      </c>
    </row>
    <row r="454" spans="1:30" ht="30.75">
      <c r="A454" s="185"/>
      <c r="B454" s="185"/>
      <c r="C454" s="185"/>
      <c r="D454" s="184"/>
      <c r="E454" s="26" t="s">
        <v>275</v>
      </c>
      <c r="F454" s="96">
        <v>2294</v>
      </c>
      <c r="G454" s="25">
        <v>2020</v>
      </c>
      <c r="H454" s="24">
        <v>75000</v>
      </c>
      <c r="I454" s="50">
        <v>0</v>
      </c>
      <c r="J454" s="58">
        <v>3122</v>
      </c>
      <c r="K454" s="24">
        <f>75000-63000</f>
        <v>12000</v>
      </c>
      <c r="L454" s="35">
        <v>100</v>
      </c>
      <c r="M454" s="24"/>
      <c r="N454" s="24">
        <v>10516</v>
      </c>
      <c r="O454" s="24">
        <f>1000</f>
        <v>1000</v>
      </c>
      <c r="P454" s="24"/>
      <c r="Q454" s="24"/>
      <c r="R454" s="24"/>
      <c r="S454" s="24"/>
      <c r="T454" s="24">
        <f>75000-10516-1000-63000</f>
        <v>484</v>
      </c>
      <c r="U454" s="24"/>
      <c r="V454" s="24"/>
      <c r="W454" s="24"/>
      <c r="X454" s="24"/>
      <c r="Y454" s="118">
        <f t="shared" si="78"/>
        <v>0</v>
      </c>
      <c r="Z454" s="24">
        <v>11304.16</v>
      </c>
      <c r="AA454" s="118">
        <f t="shared" si="74"/>
        <v>211.84000000000015</v>
      </c>
      <c r="AB454" s="118"/>
      <c r="AC454" s="24"/>
      <c r="AD454" s="118">
        <f t="shared" si="77"/>
        <v>695.8400000000001</v>
      </c>
    </row>
    <row r="455" spans="1:30" ht="30.75">
      <c r="A455" s="185"/>
      <c r="B455" s="185"/>
      <c r="C455" s="185"/>
      <c r="D455" s="184"/>
      <c r="E455" s="26" t="s">
        <v>272</v>
      </c>
      <c r="F455" s="97">
        <v>2295</v>
      </c>
      <c r="G455" s="25">
        <v>2020</v>
      </c>
      <c r="H455" s="24">
        <v>75000</v>
      </c>
      <c r="I455" s="50">
        <v>0</v>
      </c>
      <c r="J455" s="58">
        <v>3122</v>
      </c>
      <c r="K455" s="24">
        <f>75000-64000</f>
        <v>11000</v>
      </c>
      <c r="L455" s="35">
        <v>100</v>
      </c>
      <c r="M455" s="24"/>
      <c r="N455" s="24">
        <v>10000</v>
      </c>
      <c r="O455" s="24">
        <f>238.37</f>
        <v>238.37</v>
      </c>
      <c r="P455" s="24"/>
      <c r="Q455" s="24"/>
      <c r="R455" s="24"/>
      <c r="S455" s="24"/>
      <c r="T455" s="24">
        <f>75000-10000-238.37-64000</f>
        <v>761.6299999999974</v>
      </c>
      <c r="U455" s="24"/>
      <c r="V455" s="24"/>
      <c r="W455" s="24"/>
      <c r="X455" s="24"/>
      <c r="Y455" s="118">
        <f t="shared" si="78"/>
        <v>2.6147972675971687E-12</v>
      </c>
      <c r="Z455" s="24">
        <v>10238.37</v>
      </c>
      <c r="AA455" s="118">
        <f t="shared" si="74"/>
        <v>0</v>
      </c>
      <c r="AB455" s="118"/>
      <c r="AC455" s="24"/>
      <c r="AD455" s="118">
        <f t="shared" si="77"/>
        <v>761.6299999999992</v>
      </c>
    </row>
    <row r="456" spans="1:30" ht="30.75" hidden="1">
      <c r="A456" s="185"/>
      <c r="B456" s="185"/>
      <c r="C456" s="185"/>
      <c r="D456" s="184"/>
      <c r="E456" s="26" t="s">
        <v>869</v>
      </c>
      <c r="F456" s="96">
        <v>2296</v>
      </c>
      <c r="G456" s="25">
        <v>2020</v>
      </c>
      <c r="H456" s="24">
        <v>75000</v>
      </c>
      <c r="I456" s="50">
        <v>0</v>
      </c>
      <c r="J456" s="58">
        <v>3122</v>
      </c>
      <c r="K456" s="24">
        <f>75000-75000</f>
        <v>0</v>
      </c>
      <c r="L456" s="35">
        <v>100</v>
      </c>
      <c r="M456" s="24"/>
      <c r="N456" s="24">
        <v>10000</v>
      </c>
      <c r="O456" s="24"/>
      <c r="P456" s="24">
        <v>-10000</v>
      </c>
      <c r="Q456" s="24"/>
      <c r="R456" s="24"/>
      <c r="S456" s="24"/>
      <c r="T456" s="24">
        <f>75000-10000-65000</f>
        <v>0</v>
      </c>
      <c r="U456" s="24"/>
      <c r="V456" s="24"/>
      <c r="W456" s="24"/>
      <c r="X456" s="24"/>
      <c r="Y456" s="118">
        <f t="shared" si="78"/>
        <v>0</v>
      </c>
      <c r="Z456" s="24"/>
      <c r="AA456" s="118">
        <f t="shared" si="74"/>
        <v>0</v>
      </c>
      <c r="AB456" s="118"/>
      <c r="AC456" s="24"/>
      <c r="AD456" s="118">
        <f t="shared" si="77"/>
        <v>0</v>
      </c>
    </row>
    <row r="457" spans="1:30" ht="30.75" hidden="1">
      <c r="A457" s="185"/>
      <c r="B457" s="185"/>
      <c r="C457" s="185"/>
      <c r="D457" s="184"/>
      <c r="E457" s="26" t="s">
        <v>868</v>
      </c>
      <c r="F457" s="97">
        <v>2297</v>
      </c>
      <c r="G457" s="25">
        <v>2020</v>
      </c>
      <c r="H457" s="24">
        <v>75000</v>
      </c>
      <c r="I457" s="50">
        <v>0</v>
      </c>
      <c r="J457" s="58">
        <v>3122</v>
      </c>
      <c r="K457" s="24">
        <f>75000-75000</f>
        <v>0</v>
      </c>
      <c r="L457" s="35">
        <v>100</v>
      </c>
      <c r="M457" s="24"/>
      <c r="N457" s="24">
        <v>10000</v>
      </c>
      <c r="O457" s="24"/>
      <c r="P457" s="24">
        <v>-10000</v>
      </c>
      <c r="Q457" s="24"/>
      <c r="R457" s="24"/>
      <c r="S457" s="24"/>
      <c r="T457" s="24">
        <f>75000-10000-65000</f>
        <v>0</v>
      </c>
      <c r="U457" s="24"/>
      <c r="V457" s="24"/>
      <c r="W457" s="24"/>
      <c r="X457" s="24"/>
      <c r="Y457" s="118">
        <f t="shared" si="78"/>
        <v>0</v>
      </c>
      <c r="Z457" s="24"/>
      <c r="AA457" s="118">
        <f t="shared" si="74"/>
        <v>0</v>
      </c>
      <c r="AB457" s="118"/>
      <c r="AC457" s="24"/>
      <c r="AD457" s="118">
        <f t="shared" si="77"/>
        <v>0</v>
      </c>
    </row>
    <row r="458" spans="1:30" ht="30.75">
      <c r="A458" s="185"/>
      <c r="B458" s="185"/>
      <c r="C458" s="185"/>
      <c r="D458" s="184"/>
      <c r="E458" s="26" t="s">
        <v>278</v>
      </c>
      <c r="F458" s="96">
        <v>2298</v>
      </c>
      <c r="G458" s="25">
        <v>2020</v>
      </c>
      <c r="H458" s="24">
        <v>75000</v>
      </c>
      <c r="I458" s="50">
        <v>0</v>
      </c>
      <c r="J458" s="58">
        <v>3122</v>
      </c>
      <c r="K458" s="24">
        <f>75000+32000</f>
        <v>107000</v>
      </c>
      <c r="L458" s="35">
        <v>100</v>
      </c>
      <c r="M458" s="24"/>
      <c r="N458" s="24">
        <v>10000</v>
      </c>
      <c r="O458" s="24"/>
      <c r="P458" s="24"/>
      <c r="Q458" s="24"/>
      <c r="R458" s="24"/>
      <c r="S458" s="24"/>
      <c r="T458" s="24">
        <f>75000-10000</f>
        <v>65000</v>
      </c>
      <c r="U458" s="24">
        <f>32000</f>
        <v>32000</v>
      </c>
      <c r="V458" s="24"/>
      <c r="W458" s="24"/>
      <c r="X458" s="24"/>
      <c r="Y458" s="118">
        <f t="shared" si="78"/>
        <v>0</v>
      </c>
      <c r="Z458" s="24">
        <f>9459.16</f>
        <v>9459.16</v>
      </c>
      <c r="AA458" s="118">
        <f t="shared" si="74"/>
        <v>540.8400000000001</v>
      </c>
      <c r="AB458" s="118"/>
      <c r="AC458" s="24"/>
      <c r="AD458" s="118">
        <f t="shared" si="77"/>
        <v>97540.84</v>
      </c>
    </row>
    <row r="459" spans="1:30" ht="30.75">
      <c r="A459" s="185"/>
      <c r="B459" s="185"/>
      <c r="C459" s="185"/>
      <c r="D459" s="184"/>
      <c r="E459" s="26" t="s">
        <v>751</v>
      </c>
      <c r="F459" s="97">
        <v>2299</v>
      </c>
      <c r="G459" s="25" t="s">
        <v>201</v>
      </c>
      <c r="H459" s="20">
        <v>110000</v>
      </c>
      <c r="I459" s="50">
        <v>9.090909090909093</v>
      </c>
      <c r="J459" s="58">
        <v>3122</v>
      </c>
      <c r="K459" s="24">
        <f>55000+64934.63</f>
        <v>119934.63</v>
      </c>
      <c r="L459" s="35">
        <v>100</v>
      </c>
      <c r="M459" s="24"/>
      <c r="N459" s="24">
        <v>10000</v>
      </c>
      <c r="O459" s="24">
        <f>45000+5424.63</f>
        <v>50424.63</v>
      </c>
      <c r="P459" s="24"/>
      <c r="Q459" s="24"/>
      <c r="R459" s="24"/>
      <c r="S459" s="24"/>
      <c r="T459" s="24">
        <f>55000-10000-45000+59510</f>
        <v>59510</v>
      </c>
      <c r="U459" s="24"/>
      <c r="V459" s="24"/>
      <c r="W459" s="24"/>
      <c r="X459" s="24"/>
      <c r="Y459" s="118">
        <f t="shared" si="78"/>
        <v>7.275957614183426E-12</v>
      </c>
      <c r="Z459" s="24">
        <f>9058.99+41563+526.06</f>
        <v>51148.049999999996</v>
      </c>
      <c r="AA459" s="118">
        <f t="shared" si="74"/>
        <v>9276.580000000002</v>
      </c>
      <c r="AB459" s="118"/>
      <c r="AC459" s="24"/>
      <c r="AD459" s="118">
        <f t="shared" si="77"/>
        <v>68786.58000000002</v>
      </c>
    </row>
    <row r="460" spans="1:30" ht="30.75">
      <c r="A460" s="185"/>
      <c r="B460" s="185"/>
      <c r="C460" s="185"/>
      <c r="D460" s="184"/>
      <c r="E460" s="26" t="s">
        <v>266</v>
      </c>
      <c r="F460" s="96">
        <v>2300</v>
      </c>
      <c r="G460" s="25">
        <v>2020</v>
      </c>
      <c r="H460" s="24">
        <v>75000</v>
      </c>
      <c r="I460" s="50">
        <v>0</v>
      </c>
      <c r="J460" s="58">
        <v>3122</v>
      </c>
      <c r="K460" s="24">
        <f>75000-64000</f>
        <v>11000</v>
      </c>
      <c r="L460" s="35">
        <v>100</v>
      </c>
      <c r="M460" s="24"/>
      <c r="N460" s="24">
        <v>10000</v>
      </c>
      <c r="O460" s="24">
        <f>238.37</f>
        <v>238.37</v>
      </c>
      <c r="P460" s="24"/>
      <c r="Q460" s="24"/>
      <c r="R460" s="24"/>
      <c r="S460" s="24"/>
      <c r="T460" s="24">
        <f>75000-10000-238.37-64000</f>
        <v>761.6299999999974</v>
      </c>
      <c r="U460" s="24"/>
      <c r="V460" s="24"/>
      <c r="W460" s="24"/>
      <c r="X460" s="24"/>
      <c r="Y460" s="118">
        <f t="shared" si="78"/>
        <v>2.6147972675971687E-12</v>
      </c>
      <c r="Z460" s="24">
        <f>10238.37</f>
        <v>10238.37</v>
      </c>
      <c r="AA460" s="118">
        <f t="shared" si="74"/>
        <v>0</v>
      </c>
      <c r="AB460" s="118"/>
      <c r="AC460" s="24"/>
      <c r="AD460" s="118">
        <f t="shared" si="77"/>
        <v>761.6299999999992</v>
      </c>
    </row>
    <row r="461" spans="1:30" ht="30.75">
      <c r="A461" s="185"/>
      <c r="B461" s="185"/>
      <c r="C461" s="185"/>
      <c r="D461" s="184"/>
      <c r="E461" s="26" t="s">
        <v>277</v>
      </c>
      <c r="F461" s="97">
        <v>2301</v>
      </c>
      <c r="G461" s="25">
        <v>2020</v>
      </c>
      <c r="H461" s="24">
        <v>75000</v>
      </c>
      <c r="I461" s="50">
        <v>0</v>
      </c>
      <c r="J461" s="58">
        <v>3122</v>
      </c>
      <c r="K461" s="24">
        <f>75000+20000</f>
        <v>95000</v>
      </c>
      <c r="L461" s="35">
        <v>100</v>
      </c>
      <c r="M461" s="24"/>
      <c r="N461" s="24">
        <v>10000</v>
      </c>
      <c r="O461" s="24"/>
      <c r="P461" s="24"/>
      <c r="Q461" s="24">
        <f>57000</f>
        <v>57000</v>
      </c>
      <c r="R461" s="24"/>
      <c r="S461" s="24"/>
      <c r="T461" s="24">
        <f>75000-10000-57000</f>
        <v>8000</v>
      </c>
      <c r="U461" s="24">
        <f>20000</f>
        <v>20000</v>
      </c>
      <c r="V461" s="24"/>
      <c r="W461" s="24"/>
      <c r="X461" s="24"/>
      <c r="Y461" s="118">
        <f t="shared" si="78"/>
        <v>0</v>
      </c>
      <c r="Z461" s="24">
        <f>8548.58+55898+720.27</f>
        <v>65166.85</v>
      </c>
      <c r="AA461" s="118">
        <f t="shared" si="74"/>
        <v>1833.1500000000015</v>
      </c>
      <c r="AB461" s="118"/>
      <c r="AC461" s="24"/>
      <c r="AD461" s="118">
        <f t="shared" si="77"/>
        <v>29833.15</v>
      </c>
    </row>
    <row r="462" spans="1:30" ht="30.75">
      <c r="A462" s="185"/>
      <c r="B462" s="185"/>
      <c r="C462" s="185"/>
      <c r="D462" s="184"/>
      <c r="E462" s="26" t="s">
        <v>268</v>
      </c>
      <c r="F462" s="96">
        <v>2302</v>
      </c>
      <c r="G462" s="25">
        <v>2020</v>
      </c>
      <c r="H462" s="24">
        <v>75000</v>
      </c>
      <c r="I462" s="50">
        <v>0</v>
      </c>
      <c r="J462" s="58">
        <v>3122</v>
      </c>
      <c r="K462" s="24">
        <f>75000+20000</f>
        <v>95000</v>
      </c>
      <c r="L462" s="35">
        <v>100</v>
      </c>
      <c r="M462" s="24"/>
      <c r="N462" s="24">
        <v>10000</v>
      </c>
      <c r="O462" s="24"/>
      <c r="P462" s="24"/>
      <c r="Q462" s="24"/>
      <c r="R462" s="24"/>
      <c r="S462" s="24"/>
      <c r="T462" s="24">
        <f>75000-10000</f>
        <v>65000</v>
      </c>
      <c r="U462" s="24">
        <f>20000</f>
        <v>20000</v>
      </c>
      <c r="V462" s="24"/>
      <c r="W462" s="24"/>
      <c r="X462" s="24"/>
      <c r="Y462" s="118">
        <f t="shared" si="78"/>
        <v>0</v>
      </c>
      <c r="Z462" s="24">
        <f>8548.58</f>
        <v>8548.58</v>
      </c>
      <c r="AA462" s="118">
        <f t="shared" si="74"/>
        <v>1451.42</v>
      </c>
      <c r="AB462" s="118"/>
      <c r="AC462" s="24"/>
      <c r="AD462" s="118">
        <f t="shared" si="77"/>
        <v>86451.42</v>
      </c>
    </row>
    <row r="463" spans="1:30" ht="30.75">
      <c r="A463" s="185"/>
      <c r="B463" s="185"/>
      <c r="C463" s="185"/>
      <c r="D463" s="184"/>
      <c r="E463" s="26" t="s">
        <v>279</v>
      </c>
      <c r="F463" s="97">
        <v>2303</v>
      </c>
      <c r="G463" s="25">
        <v>2020</v>
      </c>
      <c r="H463" s="24">
        <v>75000</v>
      </c>
      <c r="I463" s="50">
        <v>0</v>
      </c>
      <c r="J463" s="58">
        <v>3122</v>
      </c>
      <c r="K463" s="24">
        <f>75000+20000</f>
        <v>95000</v>
      </c>
      <c r="L463" s="35">
        <v>100</v>
      </c>
      <c r="M463" s="24"/>
      <c r="N463" s="24">
        <v>10000</v>
      </c>
      <c r="O463" s="24"/>
      <c r="P463" s="24"/>
      <c r="Q463" s="24">
        <f>57000</f>
        <v>57000</v>
      </c>
      <c r="R463" s="24"/>
      <c r="S463" s="24"/>
      <c r="T463" s="24">
        <f>75000-10000-57000</f>
        <v>8000</v>
      </c>
      <c r="U463" s="24">
        <v>20000</v>
      </c>
      <c r="V463" s="24"/>
      <c r="W463" s="24"/>
      <c r="X463" s="24"/>
      <c r="Y463" s="118">
        <f t="shared" si="78"/>
        <v>0</v>
      </c>
      <c r="Z463" s="24">
        <f>8545.58+3+55898+720.27</f>
        <v>65166.85</v>
      </c>
      <c r="AA463" s="118">
        <f t="shared" si="74"/>
        <v>1833.1500000000015</v>
      </c>
      <c r="AB463" s="118"/>
      <c r="AC463" s="24"/>
      <c r="AD463" s="118">
        <f t="shared" si="77"/>
        <v>29833.15</v>
      </c>
    </row>
    <row r="464" spans="1:30" ht="33.75" customHeight="1">
      <c r="A464" s="185"/>
      <c r="B464" s="185"/>
      <c r="C464" s="185"/>
      <c r="D464" s="184"/>
      <c r="E464" s="26" t="s">
        <v>270</v>
      </c>
      <c r="F464" s="96">
        <v>2304</v>
      </c>
      <c r="G464" s="25">
        <v>2020</v>
      </c>
      <c r="H464" s="24">
        <v>75000</v>
      </c>
      <c r="I464" s="50">
        <v>0</v>
      </c>
      <c r="J464" s="58">
        <v>3122</v>
      </c>
      <c r="K464" s="24">
        <f>75000-60500</f>
        <v>14500</v>
      </c>
      <c r="L464" s="35">
        <v>100</v>
      </c>
      <c r="M464" s="24"/>
      <c r="N464" s="24">
        <v>13700</v>
      </c>
      <c r="O464" s="24">
        <f>800</f>
        <v>800</v>
      </c>
      <c r="P464" s="24"/>
      <c r="Q464" s="24"/>
      <c r="R464" s="24"/>
      <c r="S464" s="24"/>
      <c r="T464" s="24">
        <f>75000-13700-800-60500</f>
        <v>0</v>
      </c>
      <c r="U464" s="24"/>
      <c r="V464" s="24"/>
      <c r="W464" s="24"/>
      <c r="X464" s="24"/>
      <c r="Y464" s="118">
        <f t="shared" si="78"/>
        <v>0</v>
      </c>
      <c r="Z464" s="24">
        <v>14223.16</v>
      </c>
      <c r="AA464" s="118">
        <f t="shared" si="74"/>
        <v>276.84000000000015</v>
      </c>
      <c r="AB464" s="118"/>
      <c r="AC464" s="24"/>
      <c r="AD464" s="118">
        <f t="shared" si="77"/>
        <v>276.84000000000015</v>
      </c>
    </row>
    <row r="465" spans="1:30" ht="30.75">
      <c r="A465" s="185"/>
      <c r="B465" s="185"/>
      <c r="C465" s="185"/>
      <c r="D465" s="184"/>
      <c r="E465" s="26" t="s">
        <v>273</v>
      </c>
      <c r="F465" s="97">
        <v>2305</v>
      </c>
      <c r="G465" s="25">
        <v>2020</v>
      </c>
      <c r="H465" s="24">
        <v>75000</v>
      </c>
      <c r="I465" s="50">
        <v>0</v>
      </c>
      <c r="J465" s="58">
        <v>3122</v>
      </c>
      <c r="K465" s="24">
        <f>75000-64100</f>
        <v>10900</v>
      </c>
      <c r="L465" s="35">
        <v>100</v>
      </c>
      <c r="M465" s="24"/>
      <c r="N465" s="24">
        <v>10200</v>
      </c>
      <c r="O465" s="24">
        <f>700</f>
        <v>700</v>
      </c>
      <c r="P465" s="24"/>
      <c r="Q465" s="24"/>
      <c r="R465" s="24"/>
      <c r="S465" s="24"/>
      <c r="T465" s="24">
        <f>75000-10200-700-64100</f>
        <v>0</v>
      </c>
      <c r="U465" s="24"/>
      <c r="V465" s="24"/>
      <c r="W465" s="24"/>
      <c r="X465" s="24"/>
      <c r="Y465" s="118">
        <f t="shared" si="78"/>
        <v>0</v>
      </c>
      <c r="Z465" s="24">
        <v>10873.74</v>
      </c>
      <c r="AA465" s="118">
        <f t="shared" si="74"/>
        <v>26.26000000000022</v>
      </c>
      <c r="AB465" s="118"/>
      <c r="AC465" s="24"/>
      <c r="AD465" s="118">
        <f t="shared" si="77"/>
        <v>26.26000000000022</v>
      </c>
    </row>
    <row r="466" spans="1:30" ht="30.75">
      <c r="A466" s="185"/>
      <c r="B466" s="185"/>
      <c r="C466" s="185"/>
      <c r="D466" s="184"/>
      <c r="E466" s="26" t="s">
        <v>274</v>
      </c>
      <c r="F466" s="96">
        <v>2306</v>
      </c>
      <c r="G466" s="25">
        <v>2020</v>
      </c>
      <c r="H466" s="24">
        <v>75000</v>
      </c>
      <c r="I466" s="50">
        <v>0</v>
      </c>
      <c r="J466" s="58">
        <v>3122</v>
      </c>
      <c r="K466" s="24">
        <f>75000+32000</f>
        <v>107000</v>
      </c>
      <c r="L466" s="35">
        <v>100</v>
      </c>
      <c r="M466" s="24"/>
      <c r="N466" s="24">
        <v>10000</v>
      </c>
      <c r="O466" s="24"/>
      <c r="P466" s="24"/>
      <c r="Q466" s="24">
        <f>66000</f>
        <v>66000</v>
      </c>
      <c r="R466" s="24"/>
      <c r="S466" s="24"/>
      <c r="T466" s="24">
        <f>75000-10000-65000</f>
        <v>0</v>
      </c>
      <c r="U466" s="24">
        <f>32000-1000</f>
        <v>31000</v>
      </c>
      <c r="V466" s="24"/>
      <c r="W466" s="24"/>
      <c r="X466" s="24"/>
      <c r="Y466" s="118">
        <f t="shared" si="78"/>
        <v>0</v>
      </c>
      <c r="Z466" s="24">
        <f>9459.16+62723+809.27</f>
        <v>72991.43000000001</v>
      </c>
      <c r="AA466" s="118">
        <f t="shared" si="74"/>
        <v>3008.5699999999924</v>
      </c>
      <c r="AB466" s="118"/>
      <c r="AC466" s="24"/>
      <c r="AD466" s="118">
        <f t="shared" si="77"/>
        <v>34008.56999999999</v>
      </c>
    </row>
    <row r="467" spans="1:30" ht="30.75">
      <c r="A467" s="185"/>
      <c r="B467" s="185"/>
      <c r="C467" s="185"/>
      <c r="D467" s="184"/>
      <c r="E467" s="26" t="s">
        <v>284</v>
      </c>
      <c r="F467" s="97">
        <v>2307</v>
      </c>
      <c r="G467" s="20" t="s">
        <v>201</v>
      </c>
      <c r="H467" s="20">
        <v>110000</v>
      </c>
      <c r="I467" s="50">
        <v>9.090909090909093</v>
      </c>
      <c r="J467" s="58">
        <v>3122</v>
      </c>
      <c r="K467" s="24">
        <v>100000</v>
      </c>
      <c r="L467" s="35">
        <v>100</v>
      </c>
      <c r="M467" s="24"/>
      <c r="N467" s="24">
        <v>10000</v>
      </c>
      <c r="O467" s="24">
        <f>90000</f>
        <v>90000</v>
      </c>
      <c r="P467" s="24"/>
      <c r="Q467" s="24"/>
      <c r="R467" s="24"/>
      <c r="S467" s="24"/>
      <c r="T467" s="24">
        <f>100000-10000-90000</f>
        <v>0</v>
      </c>
      <c r="U467" s="24"/>
      <c r="V467" s="24"/>
      <c r="W467" s="24"/>
      <c r="X467" s="24"/>
      <c r="Y467" s="118">
        <f t="shared" si="78"/>
        <v>0</v>
      </c>
      <c r="Z467" s="24">
        <f>8061.7+81477+1048.47</f>
        <v>90587.17</v>
      </c>
      <c r="AA467" s="118">
        <f aca="true" t="shared" si="79" ref="AA467:AA530">M467+N467+O467+P467+Q467+R467+S467-Z467</f>
        <v>9412.830000000002</v>
      </c>
      <c r="AB467" s="118"/>
      <c r="AC467" s="24"/>
      <c r="AD467" s="118">
        <f t="shared" si="77"/>
        <v>9412.830000000002</v>
      </c>
    </row>
    <row r="468" spans="1:30" ht="30.75">
      <c r="A468" s="185"/>
      <c r="B468" s="185"/>
      <c r="C468" s="185"/>
      <c r="D468" s="184"/>
      <c r="E468" s="26" t="s">
        <v>276</v>
      </c>
      <c r="F468" s="96">
        <v>2308</v>
      </c>
      <c r="G468" s="25">
        <v>2020</v>
      </c>
      <c r="H468" s="24">
        <v>75000</v>
      </c>
      <c r="I468" s="50">
        <v>0</v>
      </c>
      <c r="J468" s="58">
        <v>3122</v>
      </c>
      <c r="K468" s="24">
        <f>75000-64100</f>
        <v>10900</v>
      </c>
      <c r="L468" s="35">
        <v>100</v>
      </c>
      <c r="M468" s="24"/>
      <c r="N468" s="24">
        <v>10200</v>
      </c>
      <c r="O468" s="24">
        <f>700</f>
        <v>700</v>
      </c>
      <c r="P468" s="24"/>
      <c r="Q468" s="24"/>
      <c r="R468" s="24"/>
      <c r="S468" s="24"/>
      <c r="T468" s="24">
        <f>75000-10200-700-64100</f>
        <v>0</v>
      </c>
      <c r="U468" s="24"/>
      <c r="V468" s="24"/>
      <c r="W468" s="24"/>
      <c r="X468" s="24"/>
      <c r="Y468" s="118">
        <f t="shared" si="78"/>
        <v>0</v>
      </c>
      <c r="Z468" s="24">
        <v>10873.74</v>
      </c>
      <c r="AA468" s="118">
        <f t="shared" si="79"/>
        <v>26.26000000000022</v>
      </c>
      <c r="AB468" s="118"/>
      <c r="AC468" s="24"/>
      <c r="AD468" s="118">
        <f t="shared" si="77"/>
        <v>26.26000000000022</v>
      </c>
    </row>
    <row r="469" spans="1:30" ht="30.75">
      <c r="A469" s="185"/>
      <c r="B469" s="185"/>
      <c r="C469" s="185"/>
      <c r="D469" s="184"/>
      <c r="E469" s="26" t="s">
        <v>269</v>
      </c>
      <c r="F469" s="97">
        <v>2309</v>
      </c>
      <c r="G469" s="25">
        <v>2020</v>
      </c>
      <c r="H469" s="24">
        <v>75000</v>
      </c>
      <c r="I469" s="50">
        <v>0</v>
      </c>
      <c r="J469" s="58">
        <v>3122</v>
      </c>
      <c r="K469" s="24">
        <f>75000-62500</f>
        <v>12500</v>
      </c>
      <c r="L469" s="35">
        <v>100</v>
      </c>
      <c r="M469" s="24"/>
      <c r="N469" s="24">
        <v>12100</v>
      </c>
      <c r="O469" s="24">
        <f>400</f>
        <v>400</v>
      </c>
      <c r="P469" s="24"/>
      <c r="Q469" s="24"/>
      <c r="R469" s="24"/>
      <c r="S469" s="24"/>
      <c r="T469" s="24">
        <f>75000-12100-400-62500</f>
        <v>0</v>
      </c>
      <c r="U469" s="24"/>
      <c r="V469" s="24"/>
      <c r="W469" s="24"/>
      <c r="X469" s="24"/>
      <c r="Y469" s="118">
        <f t="shared" si="78"/>
        <v>0</v>
      </c>
      <c r="Z469" s="24">
        <v>12473.84</v>
      </c>
      <c r="AA469" s="118">
        <f t="shared" si="79"/>
        <v>26.159999999999854</v>
      </c>
      <c r="AB469" s="118"/>
      <c r="AC469" s="24"/>
      <c r="AD469" s="118">
        <f t="shared" si="77"/>
        <v>26.159999999999854</v>
      </c>
    </row>
    <row r="470" spans="1:30" ht="30.75">
      <c r="A470" s="185"/>
      <c r="B470" s="185"/>
      <c r="C470" s="185"/>
      <c r="D470" s="184"/>
      <c r="E470" s="26" t="s">
        <v>716</v>
      </c>
      <c r="F470" s="96">
        <v>2310</v>
      </c>
      <c r="G470" s="25">
        <v>2020</v>
      </c>
      <c r="H470" s="24">
        <v>75000</v>
      </c>
      <c r="I470" s="50">
        <v>0</v>
      </c>
      <c r="J470" s="58">
        <v>3122</v>
      </c>
      <c r="K470" s="24">
        <f>75000-62500</f>
        <v>12500</v>
      </c>
      <c r="L470" s="35">
        <v>100</v>
      </c>
      <c r="M470" s="24"/>
      <c r="N470" s="24">
        <v>12100</v>
      </c>
      <c r="O470" s="24">
        <f>400</f>
        <v>400</v>
      </c>
      <c r="P470" s="24"/>
      <c r="Q470" s="24"/>
      <c r="R470" s="24"/>
      <c r="S470" s="24"/>
      <c r="T470" s="24">
        <f>75000-12100-400-62500</f>
        <v>0</v>
      </c>
      <c r="U470" s="24"/>
      <c r="V470" s="24"/>
      <c r="W470" s="24"/>
      <c r="X470" s="24"/>
      <c r="Y470" s="118">
        <f t="shared" si="78"/>
        <v>0</v>
      </c>
      <c r="Z470" s="24">
        <v>12473.84</v>
      </c>
      <c r="AA470" s="118">
        <f t="shared" si="79"/>
        <v>26.159999999999854</v>
      </c>
      <c r="AB470" s="118"/>
      <c r="AC470" s="24"/>
      <c r="AD470" s="118">
        <f t="shared" si="77"/>
        <v>26.159999999999854</v>
      </c>
    </row>
    <row r="471" spans="1:30" ht="30.75">
      <c r="A471" s="185"/>
      <c r="B471" s="185"/>
      <c r="C471" s="185"/>
      <c r="D471" s="184"/>
      <c r="E471" s="26" t="s">
        <v>870</v>
      </c>
      <c r="F471" s="97">
        <v>2311</v>
      </c>
      <c r="G471" s="25">
        <v>2020</v>
      </c>
      <c r="H471" s="24">
        <v>75000</v>
      </c>
      <c r="I471" s="50">
        <v>0</v>
      </c>
      <c r="J471" s="58">
        <v>3122</v>
      </c>
      <c r="K471" s="24">
        <f>75000-75000</f>
        <v>0</v>
      </c>
      <c r="L471" s="35">
        <v>100</v>
      </c>
      <c r="M471" s="24"/>
      <c r="N471" s="24">
        <v>10000</v>
      </c>
      <c r="O471" s="24"/>
      <c r="P471" s="24">
        <v>-10000</v>
      </c>
      <c r="Q471" s="24"/>
      <c r="R471" s="24"/>
      <c r="S471" s="24"/>
      <c r="T471" s="24">
        <f>75000-10000-65000</f>
        <v>0</v>
      </c>
      <c r="U471" s="24"/>
      <c r="V471" s="24"/>
      <c r="W471" s="24"/>
      <c r="X471" s="24"/>
      <c r="Y471" s="118">
        <f t="shared" si="78"/>
        <v>0</v>
      </c>
      <c r="Z471" s="24"/>
      <c r="AA471" s="118">
        <f t="shared" si="79"/>
        <v>0</v>
      </c>
      <c r="AB471" s="118"/>
      <c r="AC471" s="24"/>
      <c r="AD471" s="118">
        <f t="shared" si="77"/>
        <v>0</v>
      </c>
    </row>
    <row r="472" spans="1:30" ht="30.75">
      <c r="A472" s="185"/>
      <c r="B472" s="185"/>
      <c r="C472" s="185"/>
      <c r="D472" s="184"/>
      <c r="E472" s="26" t="s">
        <v>267</v>
      </c>
      <c r="F472" s="96">
        <v>2312</v>
      </c>
      <c r="G472" s="25">
        <v>2020</v>
      </c>
      <c r="H472" s="24">
        <v>75000</v>
      </c>
      <c r="I472" s="50">
        <v>0</v>
      </c>
      <c r="J472" s="58">
        <v>3122</v>
      </c>
      <c r="K472" s="24">
        <f>75000+32000</f>
        <v>107000</v>
      </c>
      <c r="L472" s="35">
        <v>100</v>
      </c>
      <c r="M472" s="24"/>
      <c r="N472" s="24">
        <v>10000</v>
      </c>
      <c r="O472" s="24"/>
      <c r="P472" s="24"/>
      <c r="Q472" s="24"/>
      <c r="R472" s="24"/>
      <c r="S472" s="24"/>
      <c r="T472" s="24">
        <f>75000-10000</f>
        <v>65000</v>
      </c>
      <c r="U472" s="24">
        <f>16000</f>
        <v>16000</v>
      </c>
      <c r="V472" s="24"/>
      <c r="W472" s="24">
        <f>1000</f>
        <v>1000</v>
      </c>
      <c r="X472" s="24">
        <f>15000</f>
        <v>15000</v>
      </c>
      <c r="Y472" s="118">
        <f t="shared" si="78"/>
        <v>0</v>
      </c>
      <c r="Z472" s="24">
        <f>9459.16</f>
        <v>9459.16</v>
      </c>
      <c r="AA472" s="118">
        <f t="shared" si="79"/>
        <v>540.8400000000001</v>
      </c>
      <c r="AB472" s="118"/>
      <c r="AC472" s="24"/>
      <c r="AD472" s="118">
        <f t="shared" si="77"/>
        <v>97540.84</v>
      </c>
    </row>
    <row r="473" spans="1:30" ht="30.75">
      <c r="A473" s="185"/>
      <c r="B473" s="185"/>
      <c r="C473" s="185"/>
      <c r="D473" s="184"/>
      <c r="E473" s="26" t="s">
        <v>271</v>
      </c>
      <c r="F473" s="97">
        <v>2313</v>
      </c>
      <c r="G473" s="25">
        <v>2020</v>
      </c>
      <c r="H473" s="24">
        <v>75000</v>
      </c>
      <c r="I473" s="50">
        <v>0</v>
      </c>
      <c r="J473" s="58">
        <v>3122</v>
      </c>
      <c r="K473" s="24">
        <f>75000+20000</f>
        <v>95000</v>
      </c>
      <c r="L473" s="35">
        <v>100</v>
      </c>
      <c r="M473" s="24"/>
      <c r="N473" s="24">
        <v>10000</v>
      </c>
      <c r="O473" s="24"/>
      <c r="P473" s="24"/>
      <c r="Q473" s="24">
        <f>66000</f>
        <v>66000</v>
      </c>
      <c r="R473" s="24"/>
      <c r="S473" s="24"/>
      <c r="T473" s="24">
        <f>75000-10000-65000</f>
        <v>0</v>
      </c>
      <c r="U473" s="24"/>
      <c r="V473" s="24"/>
      <c r="W473" s="24"/>
      <c r="X473" s="24">
        <f>20000-1000</f>
        <v>19000</v>
      </c>
      <c r="Y473" s="118">
        <f t="shared" si="78"/>
        <v>0</v>
      </c>
      <c r="Z473" s="24">
        <f>8548.58+65826+849.56</f>
        <v>75224.14</v>
      </c>
      <c r="AA473" s="118">
        <f t="shared" si="79"/>
        <v>775.8600000000006</v>
      </c>
      <c r="AB473" s="118"/>
      <c r="AC473" s="24"/>
      <c r="AD473" s="118">
        <f t="shared" si="77"/>
        <v>19775.86</v>
      </c>
    </row>
    <row r="474" spans="1:30" ht="30.75">
      <c r="A474" s="185"/>
      <c r="B474" s="185"/>
      <c r="C474" s="185"/>
      <c r="D474" s="184"/>
      <c r="E474" s="26" t="s">
        <v>288</v>
      </c>
      <c r="F474" s="96">
        <v>2314</v>
      </c>
      <c r="G474" s="20">
        <v>2020</v>
      </c>
      <c r="H474" s="20">
        <v>2500000</v>
      </c>
      <c r="I474" s="50">
        <v>0</v>
      </c>
      <c r="J474" s="58">
        <v>3122</v>
      </c>
      <c r="K474" s="24">
        <f>854039.56+450000+51683</f>
        <v>1355722.56</v>
      </c>
      <c r="L474" s="35">
        <v>52.2</v>
      </c>
      <c r="M474" s="24"/>
      <c r="N474" s="24"/>
      <c r="O474" s="24"/>
      <c r="P474" s="24">
        <f>300000-38500-261500</f>
        <v>0</v>
      </c>
      <c r="Q474" s="24">
        <f>600000-600000+261500</f>
        <v>261500</v>
      </c>
      <c r="R474" s="24"/>
      <c r="S474" s="24">
        <f>-261500</f>
        <v>-261500</v>
      </c>
      <c r="T474" s="24">
        <f>404039.56+38500</f>
        <v>442539.56</v>
      </c>
      <c r="U474" s="24">
        <v>261500</v>
      </c>
      <c r="V474" s="24"/>
      <c r="W474" s="24">
        <f>600000</f>
        <v>600000</v>
      </c>
      <c r="X474" s="24">
        <f>51683</f>
        <v>51683</v>
      </c>
      <c r="Y474" s="118">
        <f t="shared" si="78"/>
        <v>0</v>
      </c>
      <c r="Z474" s="24"/>
      <c r="AA474" s="118">
        <f t="shared" si="79"/>
        <v>0</v>
      </c>
      <c r="AB474" s="118"/>
      <c r="AC474" s="24">
        <v>-412656</v>
      </c>
      <c r="AD474" s="118">
        <f t="shared" si="77"/>
        <v>943066.56</v>
      </c>
    </row>
    <row r="475" spans="1:30" ht="21" hidden="1">
      <c r="A475" s="185" t="s">
        <v>111</v>
      </c>
      <c r="B475" s="185" t="s">
        <v>112</v>
      </c>
      <c r="C475" s="185" t="s">
        <v>113</v>
      </c>
      <c r="D475" s="184" t="s">
        <v>717</v>
      </c>
      <c r="E475" s="19"/>
      <c r="F475" s="96"/>
      <c r="G475" s="20"/>
      <c r="H475" s="21"/>
      <c r="I475" s="50"/>
      <c r="J475" s="58"/>
      <c r="K475" s="20"/>
      <c r="L475" s="35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118">
        <f t="shared" si="78"/>
        <v>0</v>
      </c>
      <c r="Z475" s="24"/>
      <c r="AA475" s="118">
        <f t="shared" si="79"/>
        <v>0</v>
      </c>
      <c r="AB475" s="118"/>
      <c r="AC475" s="24"/>
      <c r="AD475" s="118">
        <f t="shared" si="77"/>
        <v>0</v>
      </c>
    </row>
    <row r="476" spans="1:30" ht="21" hidden="1">
      <c r="A476" s="185"/>
      <c r="B476" s="185"/>
      <c r="C476" s="185"/>
      <c r="D476" s="184"/>
      <c r="E476" s="19"/>
      <c r="F476" s="96"/>
      <c r="G476" s="20"/>
      <c r="H476" s="21"/>
      <c r="I476" s="50"/>
      <c r="J476" s="58"/>
      <c r="K476" s="20"/>
      <c r="L476" s="35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118">
        <f t="shared" si="78"/>
        <v>0</v>
      </c>
      <c r="Z476" s="24"/>
      <c r="AA476" s="118">
        <f t="shared" si="79"/>
        <v>0</v>
      </c>
      <c r="AB476" s="118"/>
      <c r="AC476" s="24"/>
      <c r="AD476" s="118">
        <f t="shared" si="77"/>
        <v>0</v>
      </c>
    </row>
    <row r="477" spans="1:30" ht="21">
      <c r="A477" s="184">
        <v>1217363</v>
      </c>
      <c r="B477" s="184" t="s">
        <v>75</v>
      </c>
      <c r="C477" s="184" t="s">
        <v>76</v>
      </c>
      <c r="D477" s="184" t="s">
        <v>77</v>
      </c>
      <c r="E477" s="19"/>
      <c r="F477" s="96"/>
      <c r="G477" s="20"/>
      <c r="H477" s="21"/>
      <c r="I477" s="50"/>
      <c r="J477" s="58"/>
      <c r="K477" s="23">
        <f>K478</f>
        <v>39643</v>
      </c>
      <c r="L477" s="23">
        <f aca="true" t="shared" si="80" ref="L477:Z477">L478</f>
        <v>0</v>
      </c>
      <c r="M477" s="23">
        <f t="shared" si="80"/>
        <v>0</v>
      </c>
      <c r="N477" s="23">
        <f t="shared" si="80"/>
        <v>1154.65</v>
      </c>
      <c r="O477" s="23">
        <f t="shared" si="80"/>
        <v>38488.35</v>
      </c>
      <c r="P477" s="23">
        <f t="shared" si="80"/>
        <v>0</v>
      </c>
      <c r="Q477" s="23">
        <f t="shared" si="80"/>
        <v>0</v>
      </c>
      <c r="R477" s="23">
        <f t="shared" si="80"/>
        <v>0</v>
      </c>
      <c r="S477" s="23">
        <f t="shared" si="80"/>
        <v>0</v>
      </c>
      <c r="T477" s="23">
        <f t="shared" si="80"/>
        <v>0</v>
      </c>
      <c r="U477" s="23">
        <f t="shared" si="80"/>
        <v>0</v>
      </c>
      <c r="V477" s="23">
        <f t="shared" si="80"/>
        <v>0</v>
      </c>
      <c r="W477" s="23">
        <f t="shared" si="80"/>
        <v>0</v>
      </c>
      <c r="X477" s="23">
        <f t="shared" si="80"/>
        <v>0</v>
      </c>
      <c r="Y477" s="118">
        <f t="shared" si="78"/>
        <v>0</v>
      </c>
      <c r="Z477" s="23">
        <f t="shared" si="80"/>
        <v>0</v>
      </c>
      <c r="AA477" s="118">
        <f t="shared" si="79"/>
        <v>39643</v>
      </c>
      <c r="AB477" s="118"/>
      <c r="AC477" s="24"/>
      <c r="AD477" s="118">
        <f t="shared" si="77"/>
        <v>39643</v>
      </c>
    </row>
    <row r="478" spans="1:30" ht="46.5">
      <c r="A478" s="184"/>
      <c r="B478" s="184"/>
      <c r="C478" s="184"/>
      <c r="D478" s="184"/>
      <c r="E478" s="19" t="s">
        <v>871</v>
      </c>
      <c r="F478" s="96">
        <v>2315</v>
      </c>
      <c r="G478" s="20"/>
      <c r="H478" s="21"/>
      <c r="I478" s="50"/>
      <c r="J478" s="58">
        <v>3110</v>
      </c>
      <c r="K478" s="20">
        <f>39643-38488.35+38488.35</f>
        <v>39643</v>
      </c>
      <c r="L478" s="35"/>
      <c r="M478" s="24"/>
      <c r="N478" s="24">
        <v>1154.65</v>
      </c>
      <c r="O478" s="24">
        <f>38488.35</f>
        <v>38488.35</v>
      </c>
      <c r="P478" s="24"/>
      <c r="Q478" s="24"/>
      <c r="R478" s="24"/>
      <c r="S478" s="24"/>
      <c r="T478" s="24"/>
      <c r="U478" s="24"/>
      <c r="V478" s="24"/>
      <c r="W478" s="24"/>
      <c r="X478" s="24"/>
      <c r="Y478" s="118">
        <f t="shared" si="78"/>
        <v>0</v>
      </c>
      <c r="Z478" s="24"/>
      <c r="AA478" s="118">
        <f t="shared" si="79"/>
        <v>39643</v>
      </c>
      <c r="AB478" s="118"/>
      <c r="AC478" s="24"/>
      <c r="AD478" s="118">
        <f aca="true" t="shared" si="81" ref="AD478:AD541">K478-Z478+AC478-AB478</f>
        <v>39643</v>
      </c>
    </row>
    <row r="479" spans="1:30" ht="20.25">
      <c r="A479" s="171" t="s">
        <v>114</v>
      </c>
      <c r="B479" s="171" t="s">
        <v>115</v>
      </c>
      <c r="C479" s="171" t="s">
        <v>116</v>
      </c>
      <c r="D479" s="172" t="s">
        <v>117</v>
      </c>
      <c r="E479" s="112"/>
      <c r="F479" s="98"/>
      <c r="G479" s="20"/>
      <c r="H479" s="21"/>
      <c r="I479" s="50"/>
      <c r="J479" s="58"/>
      <c r="K479" s="23">
        <f aca="true" t="shared" si="82" ref="K479:X479">SUM(K480:K537)</f>
        <v>48331336.569999985</v>
      </c>
      <c r="L479" s="23">
        <f t="shared" si="82"/>
        <v>5644.010972993132</v>
      </c>
      <c r="M479" s="23">
        <f t="shared" si="82"/>
        <v>0</v>
      </c>
      <c r="N479" s="23">
        <f t="shared" si="82"/>
        <v>2429871.3600000003</v>
      </c>
      <c r="O479" s="23">
        <f t="shared" si="82"/>
        <v>1034765.9199999999</v>
      </c>
      <c r="P479" s="23">
        <f t="shared" si="82"/>
        <v>4768955.46</v>
      </c>
      <c r="Q479" s="23">
        <f t="shared" si="82"/>
        <v>2224544.379999999</v>
      </c>
      <c r="R479" s="23">
        <f t="shared" si="82"/>
        <v>9679301.709999999</v>
      </c>
      <c r="S479" s="23">
        <f t="shared" si="82"/>
        <v>6067340.87</v>
      </c>
      <c r="T479" s="23">
        <f t="shared" si="82"/>
        <v>9761183.05</v>
      </c>
      <c r="U479" s="23">
        <f t="shared" si="82"/>
        <v>1540589</v>
      </c>
      <c r="V479" s="23">
        <f t="shared" si="82"/>
        <v>4570063.5</v>
      </c>
      <c r="W479" s="23">
        <f t="shared" si="82"/>
        <v>5846976.32</v>
      </c>
      <c r="X479" s="23">
        <f t="shared" si="82"/>
        <v>407745</v>
      </c>
      <c r="Y479" s="118">
        <f t="shared" si="78"/>
        <v>-1.4901161193847656E-08</v>
      </c>
      <c r="Z479" s="23">
        <f>SUM(Z480:Z537)</f>
        <v>23709955.31</v>
      </c>
      <c r="AA479" s="118">
        <f t="shared" si="79"/>
        <v>2494824.3900000006</v>
      </c>
      <c r="AB479" s="118"/>
      <c r="AC479" s="24"/>
      <c r="AD479" s="118">
        <f t="shared" si="81"/>
        <v>24621381.259999987</v>
      </c>
    </row>
    <row r="480" spans="1:30" ht="30.75">
      <c r="A480" s="171"/>
      <c r="B480" s="171"/>
      <c r="C480" s="171"/>
      <c r="D480" s="172"/>
      <c r="E480" s="19" t="s">
        <v>310</v>
      </c>
      <c r="F480" s="96">
        <v>2316</v>
      </c>
      <c r="G480" s="25">
        <v>2020</v>
      </c>
      <c r="H480" s="24">
        <v>1154000</v>
      </c>
      <c r="I480" s="50">
        <v>0</v>
      </c>
      <c r="J480" s="58">
        <v>3132</v>
      </c>
      <c r="K480" s="20">
        <v>1154000</v>
      </c>
      <c r="L480" s="35">
        <v>100</v>
      </c>
      <c r="M480" s="24"/>
      <c r="N480" s="24">
        <v>10000</v>
      </c>
      <c r="O480" s="24"/>
      <c r="P480" s="24">
        <f>169000</f>
        <v>169000</v>
      </c>
      <c r="Q480" s="24">
        <f>530000</f>
        <v>530000</v>
      </c>
      <c r="R480" s="24">
        <f>445000</f>
        <v>445000</v>
      </c>
      <c r="S480" s="24"/>
      <c r="T480" s="24">
        <f>1144000-699000-445000</f>
        <v>0</v>
      </c>
      <c r="U480" s="24"/>
      <c r="V480" s="24"/>
      <c r="W480" s="24"/>
      <c r="X480" s="24"/>
      <c r="Y480" s="118">
        <f t="shared" si="78"/>
        <v>0</v>
      </c>
      <c r="Z480" s="24">
        <f>9000+1120577.78</f>
        <v>1129577.78</v>
      </c>
      <c r="AA480" s="118">
        <f t="shared" si="79"/>
        <v>24422.219999999972</v>
      </c>
      <c r="AB480" s="118"/>
      <c r="AC480" s="24"/>
      <c r="AD480" s="118">
        <f t="shared" si="81"/>
        <v>24422.219999999972</v>
      </c>
    </row>
    <row r="481" spans="1:30" ht="30.75">
      <c r="A481" s="171"/>
      <c r="B481" s="171"/>
      <c r="C481" s="171"/>
      <c r="D481" s="172"/>
      <c r="E481" s="100" t="s">
        <v>332</v>
      </c>
      <c r="F481" s="132">
        <v>2317</v>
      </c>
      <c r="G481" s="25">
        <v>2020</v>
      </c>
      <c r="H481" s="24">
        <v>1400000</v>
      </c>
      <c r="I481" s="50">
        <v>0</v>
      </c>
      <c r="J481" s="58">
        <v>3132</v>
      </c>
      <c r="K481" s="24">
        <v>1400000</v>
      </c>
      <c r="L481" s="35">
        <v>100</v>
      </c>
      <c r="M481" s="24"/>
      <c r="N481" s="24"/>
      <c r="O481" s="24"/>
      <c r="P481" s="24">
        <f>100000-18000</f>
        <v>82000</v>
      </c>
      <c r="Q481" s="24">
        <f>-12400</f>
        <v>-12400</v>
      </c>
      <c r="R481" s="24">
        <f>708453</f>
        <v>708453</v>
      </c>
      <c r="S481" s="24"/>
      <c r="T481" s="24">
        <f>1300000+9000-708453</f>
        <v>600547</v>
      </c>
      <c r="U481" s="24">
        <f>9000</f>
        <v>9000</v>
      </c>
      <c r="V481" s="24"/>
      <c r="W481" s="24">
        <f>12400</f>
        <v>12400</v>
      </c>
      <c r="X481" s="24"/>
      <c r="Y481" s="118">
        <f t="shared" si="78"/>
        <v>0</v>
      </c>
      <c r="Z481" s="24">
        <f>69600+625045.69</f>
        <v>694645.69</v>
      </c>
      <c r="AA481" s="118">
        <f t="shared" si="79"/>
        <v>83407.31000000006</v>
      </c>
      <c r="AB481" s="118"/>
      <c r="AC481" s="24">
        <v>-621947</v>
      </c>
      <c r="AD481" s="118">
        <f t="shared" si="81"/>
        <v>83407.31000000006</v>
      </c>
    </row>
    <row r="482" spans="1:30" ht="30.75">
      <c r="A482" s="171"/>
      <c r="B482" s="171"/>
      <c r="C482" s="171"/>
      <c r="D482" s="172"/>
      <c r="E482" s="26" t="s">
        <v>305</v>
      </c>
      <c r="F482" s="96">
        <v>2318</v>
      </c>
      <c r="G482" s="25">
        <v>2020</v>
      </c>
      <c r="H482" s="24">
        <v>1500000</v>
      </c>
      <c r="I482" s="50">
        <v>0</v>
      </c>
      <c r="J482" s="58">
        <v>3132</v>
      </c>
      <c r="K482" s="24">
        <v>1500000</v>
      </c>
      <c r="L482" s="35">
        <v>100</v>
      </c>
      <c r="M482" s="24"/>
      <c r="N482" s="24"/>
      <c r="O482" s="24"/>
      <c r="P482" s="24">
        <f>100000+3000</f>
        <v>103000</v>
      </c>
      <c r="Q482" s="24">
        <f>368648.7</f>
        <v>368648.7</v>
      </c>
      <c r="R482" s="24">
        <f>1028351.3</f>
        <v>1028351.3</v>
      </c>
      <c r="S482" s="24"/>
      <c r="T482" s="24">
        <f>1400000-3000-368648.7-1028351.3</f>
        <v>0</v>
      </c>
      <c r="U482" s="24"/>
      <c r="V482" s="24"/>
      <c r="W482" s="24"/>
      <c r="X482" s="24"/>
      <c r="Y482" s="118">
        <f t="shared" si="78"/>
        <v>0</v>
      </c>
      <c r="Z482" s="24">
        <f>103000+991794</f>
        <v>1094794</v>
      </c>
      <c r="AA482" s="118">
        <f t="shared" si="79"/>
        <v>405206</v>
      </c>
      <c r="AB482" s="118"/>
      <c r="AC482" s="24"/>
      <c r="AD482" s="118">
        <f t="shared" si="81"/>
        <v>405206</v>
      </c>
    </row>
    <row r="483" spans="1:30" ht="62.25">
      <c r="A483" s="171"/>
      <c r="B483" s="171"/>
      <c r="C483" s="171"/>
      <c r="D483" s="172"/>
      <c r="E483" s="100" t="s">
        <v>741</v>
      </c>
      <c r="F483" s="132">
        <v>2319</v>
      </c>
      <c r="G483" s="25">
        <v>2020</v>
      </c>
      <c r="H483" s="24">
        <v>1500000</v>
      </c>
      <c r="I483" s="50">
        <v>0</v>
      </c>
      <c r="J483" s="58">
        <v>3132</v>
      </c>
      <c r="K483" s="24">
        <v>1500000</v>
      </c>
      <c r="L483" s="35">
        <v>100</v>
      </c>
      <c r="M483" s="24"/>
      <c r="N483" s="24"/>
      <c r="O483" s="24"/>
      <c r="P483" s="24">
        <v>100000</v>
      </c>
      <c r="Q483" s="24">
        <f>-28865.27</f>
        <v>-28865.27</v>
      </c>
      <c r="R483" s="24">
        <f>1014892</f>
        <v>1014892</v>
      </c>
      <c r="S483" s="24"/>
      <c r="T483" s="24">
        <f>800000-800000</f>
        <v>0</v>
      </c>
      <c r="U483" s="24"/>
      <c r="V483" s="24"/>
      <c r="W483" s="24">
        <f>600000+28865.27-214892</f>
        <v>413973.27</v>
      </c>
      <c r="X483" s="24"/>
      <c r="Y483" s="118">
        <f t="shared" si="78"/>
        <v>0</v>
      </c>
      <c r="Z483" s="24">
        <f>71134.73+667555.8</f>
        <v>738690.53</v>
      </c>
      <c r="AA483" s="118">
        <f t="shared" si="79"/>
        <v>347336.19999999995</v>
      </c>
      <c r="AB483" s="118"/>
      <c r="AC483" s="24">
        <v>-413973.27</v>
      </c>
      <c r="AD483" s="118">
        <f t="shared" si="81"/>
        <v>347336.19999999995</v>
      </c>
    </row>
    <row r="484" spans="1:30" ht="30.75">
      <c r="A484" s="171"/>
      <c r="B484" s="171"/>
      <c r="C484" s="171"/>
      <c r="D484" s="172"/>
      <c r="E484" s="19" t="s">
        <v>718</v>
      </c>
      <c r="F484" s="96">
        <v>2320</v>
      </c>
      <c r="G484" s="25">
        <v>2020</v>
      </c>
      <c r="H484" s="24">
        <v>1490000</v>
      </c>
      <c r="I484" s="50">
        <v>0</v>
      </c>
      <c r="J484" s="58">
        <v>3132</v>
      </c>
      <c r="K484" s="20">
        <v>1490000</v>
      </c>
      <c r="L484" s="35">
        <v>100</v>
      </c>
      <c r="M484" s="24"/>
      <c r="N484" s="24"/>
      <c r="O484" s="24"/>
      <c r="P484" s="24">
        <v>100000</v>
      </c>
      <c r="Q484" s="24">
        <f>-29035</f>
        <v>-29035</v>
      </c>
      <c r="R484" s="24"/>
      <c r="S484" s="24"/>
      <c r="T484" s="24">
        <v>800000</v>
      </c>
      <c r="U484" s="24"/>
      <c r="V484" s="24"/>
      <c r="W484" s="24">
        <f>590000+29035</f>
        <v>619035</v>
      </c>
      <c r="X484" s="24"/>
      <c r="Y484" s="118">
        <f t="shared" si="78"/>
        <v>0</v>
      </c>
      <c r="Z484" s="24">
        <v>70965</v>
      </c>
      <c r="AA484" s="118">
        <f t="shared" si="79"/>
        <v>0</v>
      </c>
      <c r="AB484" s="118"/>
      <c r="AC484" s="24"/>
      <c r="AD484" s="118">
        <f t="shared" si="81"/>
        <v>1419035</v>
      </c>
    </row>
    <row r="485" spans="1:30" ht="30.75">
      <c r="A485" s="171"/>
      <c r="B485" s="171"/>
      <c r="C485" s="171"/>
      <c r="D485" s="172"/>
      <c r="E485" s="101" t="s">
        <v>304</v>
      </c>
      <c r="F485" s="132">
        <v>2321</v>
      </c>
      <c r="G485" s="25">
        <v>2020</v>
      </c>
      <c r="H485" s="24">
        <v>1490000</v>
      </c>
      <c r="I485" s="50">
        <v>0</v>
      </c>
      <c r="J485" s="58">
        <v>3132</v>
      </c>
      <c r="K485" s="24">
        <v>1490000</v>
      </c>
      <c r="L485" s="35">
        <v>100</v>
      </c>
      <c r="M485" s="24"/>
      <c r="N485" s="24"/>
      <c r="O485" s="24"/>
      <c r="P485" s="24">
        <v>100000</v>
      </c>
      <c r="Q485" s="24">
        <f>-29035</f>
        <v>-29035</v>
      </c>
      <c r="R485" s="24"/>
      <c r="S485" s="24"/>
      <c r="T485" s="24">
        <v>800000</v>
      </c>
      <c r="U485" s="24"/>
      <c r="V485" s="24"/>
      <c r="W485" s="24">
        <f>590000+29035</f>
        <v>619035</v>
      </c>
      <c r="X485" s="24"/>
      <c r="Y485" s="118">
        <f t="shared" si="78"/>
        <v>0</v>
      </c>
      <c r="Z485" s="24">
        <v>70965</v>
      </c>
      <c r="AA485" s="118">
        <f t="shared" si="79"/>
        <v>0</v>
      </c>
      <c r="AB485" s="118"/>
      <c r="AC485" s="24"/>
      <c r="AD485" s="118">
        <f t="shared" si="81"/>
        <v>1419035</v>
      </c>
    </row>
    <row r="486" spans="1:30" ht="46.5">
      <c r="A486" s="171"/>
      <c r="B486" s="171"/>
      <c r="C486" s="171"/>
      <c r="D486" s="172"/>
      <c r="E486" s="26" t="s">
        <v>299</v>
      </c>
      <c r="F486" s="96">
        <v>2322</v>
      </c>
      <c r="G486" s="25">
        <v>2020</v>
      </c>
      <c r="H486" s="24">
        <v>656000</v>
      </c>
      <c r="I486" s="50">
        <v>0</v>
      </c>
      <c r="J486" s="58">
        <v>3132</v>
      </c>
      <c r="K486" s="133">
        <f>656000-646000</f>
        <v>10000</v>
      </c>
      <c r="L486" s="35">
        <v>100</v>
      </c>
      <c r="M486" s="24"/>
      <c r="N486" s="24"/>
      <c r="O486" s="24"/>
      <c r="P486" s="24">
        <f>60000-50000</f>
        <v>10000</v>
      </c>
      <c r="Q486" s="24">
        <f>-10000</f>
        <v>-10000</v>
      </c>
      <c r="R486" s="24"/>
      <c r="S486" s="24">
        <f>10000</f>
        <v>10000</v>
      </c>
      <c r="T486" s="24">
        <f>300000-300000</f>
        <v>0</v>
      </c>
      <c r="U486" s="24"/>
      <c r="V486" s="24">
        <f>296000-296000</f>
        <v>0</v>
      </c>
      <c r="W486" s="24"/>
      <c r="X486" s="24"/>
      <c r="Y486" s="118">
        <f t="shared" si="78"/>
        <v>0</v>
      </c>
      <c r="Z486" s="24"/>
      <c r="AA486" s="118">
        <f t="shared" si="79"/>
        <v>10000</v>
      </c>
      <c r="AB486" s="118"/>
      <c r="AC486" s="24"/>
      <c r="AD486" s="118">
        <f t="shared" si="81"/>
        <v>10000</v>
      </c>
    </row>
    <row r="487" spans="1:30" ht="46.5">
      <c r="A487" s="171"/>
      <c r="B487" s="171"/>
      <c r="C487" s="171"/>
      <c r="D487" s="172"/>
      <c r="E487" s="26" t="s">
        <v>302</v>
      </c>
      <c r="F487" s="132">
        <v>2323</v>
      </c>
      <c r="G487" s="25">
        <v>2020</v>
      </c>
      <c r="H487" s="24">
        <v>1181000</v>
      </c>
      <c r="I487" s="50">
        <v>0</v>
      </c>
      <c r="J487" s="58">
        <v>3132</v>
      </c>
      <c r="K487" s="133">
        <v>1181000</v>
      </c>
      <c r="L487" s="35">
        <v>100</v>
      </c>
      <c r="M487" s="24"/>
      <c r="N487" s="24"/>
      <c r="O487" s="24"/>
      <c r="P487" s="24">
        <f>70000+15000</f>
        <v>85000</v>
      </c>
      <c r="Q487" s="24"/>
      <c r="R487" s="24">
        <f>694000</f>
        <v>694000</v>
      </c>
      <c r="S487" s="24"/>
      <c r="T487" s="24">
        <f>700000-15000-685000</f>
        <v>0</v>
      </c>
      <c r="U487" s="24"/>
      <c r="V487" s="24"/>
      <c r="W487" s="24">
        <f>411000-9000</f>
        <v>402000</v>
      </c>
      <c r="X487" s="24"/>
      <c r="Y487" s="118">
        <f t="shared" si="78"/>
        <v>0</v>
      </c>
      <c r="Z487" s="24">
        <f>84597+686176.19+7776.15</f>
        <v>778549.34</v>
      </c>
      <c r="AA487" s="118">
        <f t="shared" si="79"/>
        <v>450.6600000000326</v>
      </c>
      <c r="AB487" s="118"/>
      <c r="AC487" s="24"/>
      <c r="AD487" s="118">
        <f t="shared" si="81"/>
        <v>402450.66000000003</v>
      </c>
    </row>
    <row r="488" spans="1:30" ht="30.75">
      <c r="A488" s="171"/>
      <c r="B488" s="171"/>
      <c r="C488" s="171"/>
      <c r="D488" s="172"/>
      <c r="E488" s="26" t="s">
        <v>324</v>
      </c>
      <c r="F488" s="96">
        <v>2324</v>
      </c>
      <c r="G488" s="25">
        <v>2020</v>
      </c>
      <c r="H488" s="24">
        <v>161206</v>
      </c>
      <c r="I488" s="50">
        <v>0</v>
      </c>
      <c r="J488" s="58">
        <v>3132</v>
      </c>
      <c r="K488" s="24">
        <v>161206</v>
      </c>
      <c r="L488" s="35">
        <v>100</v>
      </c>
      <c r="M488" s="24"/>
      <c r="N488" s="24"/>
      <c r="O488" s="24"/>
      <c r="P488" s="24">
        <v>161206</v>
      </c>
      <c r="Q488" s="24">
        <f>-26867.2</f>
        <v>-26867.2</v>
      </c>
      <c r="R488" s="24"/>
      <c r="S488" s="24"/>
      <c r="T488" s="24"/>
      <c r="U488" s="24"/>
      <c r="V488" s="24"/>
      <c r="W488" s="24">
        <f>26867.2</f>
        <v>26867.2</v>
      </c>
      <c r="X488" s="24"/>
      <c r="Y488" s="118">
        <f t="shared" si="78"/>
        <v>0</v>
      </c>
      <c r="Z488" s="24">
        <f>134338.8</f>
        <v>134338.8</v>
      </c>
      <c r="AA488" s="118">
        <f t="shared" si="79"/>
        <v>0</v>
      </c>
      <c r="AB488" s="118"/>
      <c r="AC488" s="24">
        <v>-14414.8</v>
      </c>
      <c r="AD488" s="118">
        <f t="shared" si="81"/>
        <v>12452.400000000012</v>
      </c>
    </row>
    <row r="489" spans="1:30" ht="30.75">
      <c r="A489" s="171"/>
      <c r="B489" s="171"/>
      <c r="C489" s="171"/>
      <c r="D489" s="172"/>
      <c r="E489" s="26" t="s">
        <v>307</v>
      </c>
      <c r="F489" s="132">
        <v>2325</v>
      </c>
      <c r="G489" s="25">
        <v>2020</v>
      </c>
      <c r="H489" s="24">
        <v>280000</v>
      </c>
      <c r="I489" s="50">
        <v>0</v>
      </c>
      <c r="J489" s="58">
        <v>3132</v>
      </c>
      <c r="K489" s="24">
        <v>280000</v>
      </c>
      <c r="L489" s="35">
        <v>100</v>
      </c>
      <c r="M489" s="24"/>
      <c r="N489" s="24"/>
      <c r="O489" s="24"/>
      <c r="P489" s="24">
        <f>30000+6000</f>
        <v>36000</v>
      </c>
      <c r="Q489" s="24"/>
      <c r="R489" s="24"/>
      <c r="S489" s="24"/>
      <c r="T489" s="24"/>
      <c r="U489" s="24">
        <f>250000-6000</f>
        <v>244000</v>
      </c>
      <c r="V489" s="24"/>
      <c r="W489" s="24"/>
      <c r="X489" s="24"/>
      <c r="Y489" s="118">
        <f t="shared" si="78"/>
        <v>0</v>
      </c>
      <c r="Z489" s="24">
        <v>36000</v>
      </c>
      <c r="AA489" s="118">
        <f t="shared" si="79"/>
        <v>0</v>
      </c>
      <c r="AB489" s="118"/>
      <c r="AC489" s="24"/>
      <c r="AD489" s="118">
        <f t="shared" si="81"/>
        <v>244000</v>
      </c>
    </row>
    <row r="490" spans="1:30" ht="30.75">
      <c r="A490" s="171"/>
      <c r="B490" s="171"/>
      <c r="C490" s="171"/>
      <c r="D490" s="172"/>
      <c r="E490" s="26" t="s">
        <v>308</v>
      </c>
      <c r="F490" s="96">
        <v>2326</v>
      </c>
      <c r="G490" s="25">
        <v>2020</v>
      </c>
      <c r="H490" s="24">
        <v>500000</v>
      </c>
      <c r="I490" s="50">
        <v>0</v>
      </c>
      <c r="J490" s="58">
        <v>3132</v>
      </c>
      <c r="K490" s="24">
        <v>500000</v>
      </c>
      <c r="L490" s="35">
        <v>100</v>
      </c>
      <c r="M490" s="24"/>
      <c r="N490" s="24"/>
      <c r="O490" s="24"/>
      <c r="P490" s="24">
        <v>40000</v>
      </c>
      <c r="Q490" s="24">
        <f>-8000</f>
        <v>-8000</v>
      </c>
      <c r="R490" s="24"/>
      <c r="S490" s="24"/>
      <c r="T490" s="24"/>
      <c r="U490" s="24">
        <v>460000</v>
      </c>
      <c r="V490" s="24"/>
      <c r="W490" s="24">
        <f>8000</f>
        <v>8000</v>
      </c>
      <c r="X490" s="24"/>
      <c r="Y490" s="118">
        <f t="shared" si="78"/>
        <v>0</v>
      </c>
      <c r="Z490" s="24">
        <v>32000</v>
      </c>
      <c r="AA490" s="118">
        <f t="shared" si="79"/>
        <v>0</v>
      </c>
      <c r="AB490" s="118"/>
      <c r="AC490" s="24">
        <v>-192947.38</v>
      </c>
      <c r="AD490" s="118">
        <f t="shared" si="81"/>
        <v>275052.62</v>
      </c>
    </row>
    <row r="491" spans="1:30" ht="30.75">
      <c r="A491" s="171"/>
      <c r="B491" s="171"/>
      <c r="C491" s="171"/>
      <c r="D491" s="172"/>
      <c r="E491" s="26" t="s">
        <v>309</v>
      </c>
      <c r="F491" s="132">
        <v>2327</v>
      </c>
      <c r="G491" s="25">
        <v>2020</v>
      </c>
      <c r="H491" s="24">
        <v>100000</v>
      </c>
      <c r="I491" s="50">
        <v>0</v>
      </c>
      <c r="J491" s="58">
        <v>3132</v>
      </c>
      <c r="K491" s="24">
        <v>100000</v>
      </c>
      <c r="L491" s="35">
        <v>100</v>
      </c>
      <c r="M491" s="24"/>
      <c r="N491" s="24"/>
      <c r="O491" s="24"/>
      <c r="P491" s="24">
        <f>20000+6000</f>
        <v>26000</v>
      </c>
      <c r="Q491" s="24"/>
      <c r="R491" s="24"/>
      <c r="S491" s="24"/>
      <c r="T491" s="24">
        <f>80000-6000</f>
        <v>74000</v>
      </c>
      <c r="U491" s="24"/>
      <c r="V491" s="24"/>
      <c r="W491" s="24"/>
      <c r="X491" s="24"/>
      <c r="Y491" s="118">
        <f t="shared" si="78"/>
        <v>0</v>
      </c>
      <c r="Z491" s="24">
        <v>26000</v>
      </c>
      <c r="AA491" s="118">
        <f t="shared" si="79"/>
        <v>0</v>
      </c>
      <c r="AB491" s="118"/>
      <c r="AC491" s="24"/>
      <c r="AD491" s="118">
        <f t="shared" si="81"/>
        <v>74000</v>
      </c>
    </row>
    <row r="492" spans="1:30" ht="30.75">
      <c r="A492" s="171"/>
      <c r="B492" s="171"/>
      <c r="C492" s="171"/>
      <c r="D492" s="172"/>
      <c r="E492" s="26" t="s">
        <v>719</v>
      </c>
      <c r="F492" s="96">
        <v>2328</v>
      </c>
      <c r="G492" s="25" t="s">
        <v>201</v>
      </c>
      <c r="H492" s="24">
        <v>1588602</v>
      </c>
      <c r="I492" s="50">
        <v>88.65209788228896</v>
      </c>
      <c r="J492" s="58">
        <v>3132</v>
      </c>
      <c r="K492" s="24">
        <v>30272.94</v>
      </c>
      <c r="L492" s="35">
        <v>100</v>
      </c>
      <c r="M492" s="24"/>
      <c r="N492" s="24"/>
      <c r="O492" s="24"/>
      <c r="P492" s="24"/>
      <c r="Q492" s="24"/>
      <c r="R492" s="24">
        <f>30272.94-30272.94</f>
        <v>0</v>
      </c>
      <c r="S492" s="24"/>
      <c r="T492" s="24"/>
      <c r="U492" s="24"/>
      <c r="V492" s="24">
        <f>30272.94</f>
        <v>30272.94</v>
      </c>
      <c r="W492" s="24"/>
      <c r="X492" s="24"/>
      <c r="Y492" s="118">
        <f aca="true" t="shared" si="83" ref="Y492:Y556">K492-M492-N492-O492-P492-Q492-R492-S492-T492-U492-V492-W492-X492</f>
        <v>0</v>
      </c>
      <c r="Z492" s="24"/>
      <c r="AA492" s="118">
        <f t="shared" si="79"/>
        <v>0</v>
      </c>
      <c r="AB492" s="118"/>
      <c r="AC492" s="24"/>
      <c r="AD492" s="118">
        <f t="shared" si="81"/>
        <v>30272.94</v>
      </c>
    </row>
    <row r="493" spans="1:30" ht="30.75">
      <c r="A493" s="171"/>
      <c r="B493" s="171"/>
      <c r="C493" s="171"/>
      <c r="D493" s="172"/>
      <c r="E493" s="26" t="s">
        <v>720</v>
      </c>
      <c r="F493" s="132">
        <v>2329</v>
      </c>
      <c r="G493" s="25">
        <v>2020</v>
      </c>
      <c r="H493" s="24">
        <v>60000</v>
      </c>
      <c r="I493" s="50">
        <v>0</v>
      </c>
      <c r="J493" s="58">
        <v>3132</v>
      </c>
      <c r="K493" s="24">
        <v>60000</v>
      </c>
      <c r="L493" s="35">
        <v>100</v>
      </c>
      <c r="M493" s="24"/>
      <c r="N493" s="24"/>
      <c r="O493" s="24"/>
      <c r="P493" s="24">
        <v>10000</v>
      </c>
      <c r="Q493" s="24">
        <f>-10000</f>
        <v>-10000</v>
      </c>
      <c r="R493" s="24">
        <f>50000-50000</f>
        <v>0</v>
      </c>
      <c r="S493" s="24"/>
      <c r="T493" s="24"/>
      <c r="U493" s="24"/>
      <c r="V493" s="24">
        <f>50000</f>
        <v>50000</v>
      </c>
      <c r="W493" s="24">
        <f>10000</f>
        <v>10000</v>
      </c>
      <c r="X493" s="24"/>
      <c r="Y493" s="118">
        <f t="shared" si="83"/>
        <v>0</v>
      </c>
      <c r="Z493" s="24"/>
      <c r="AA493" s="118">
        <f t="shared" si="79"/>
        <v>0</v>
      </c>
      <c r="AB493" s="118"/>
      <c r="AC493" s="24"/>
      <c r="AD493" s="118">
        <f t="shared" si="81"/>
        <v>60000</v>
      </c>
    </row>
    <row r="494" spans="1:30" ht="30.75">
      <c r="A494" s="171"/>
      <c r="B494" s="171"/>
      <c r="C494" s="171"/>
      <c r="D494" s="172"/>
      <c r="E494" s="19" t="s">
        <v>303</v>
      </c>
      <c r="F494" s="96">
        <v>2330</v>
      </c>
      <c r="G494" s="25">
        <v>2020</v>
      </c>
      <c r="H494" s="24">
        <v>1490000</v>
      </c>
      <c r="I494" s="50">
        <v>0</v>
      </c>
      <c r="J494" s="58">
        <v>3132</v>
      </c>
      <c r="K494" s="20">
        <v>1490000</v>
      </c>
      <c r="L494" s="35">
        <v>100</v>
      </c>
      <c r="M494" s="24"/>
      <c r="N494" s="24"/>
      <c r="O494" s="24"/>
      <c r="P494" s="24">
        <v>100000</v>
      </c>
      <c r="Q494" s="24">
        <f>-29035</f>
        <v>-29035</v>
      </c>
      <c r="R494" s="24"/>
      <c r="S494" s="24"/>
      <c r="T494" s="24"/>
      <c r="U494" s="24">
        <v>800000</v>
      </c>
      <c r="V494" s="24"/>
      <c r="W494" s="24">
        <f>590000+29035</f>
        <v>619035</v>
      </c>
      <c r="X494" s="24"/>
      <c r="Y494" s="118">
        <f t="shared" si="83"/>
        <v>0</v>
      </c>
      <c r="Z494" s="24">
        <v>70965</v>
      </c>
      <c r="AA494" s="118">
        <f t="shared" si="79"/>
        <v>0</v>
      </c>
      <c r="AB494" s="118"/>
      <c r="AC494" s="24"/>
      <c r="AD494" s="118">
        <f t="shared" si="81"/>
        <v>1419035</v>
      </c>
    </row>
    <row r="495" spans="1:30" ht="30.75">
      <c r="A495" s="171"/>
      <c r="B495" s="171"/>
      <c r="C495" s="171"/>
      <c r="D495" s="172"/>
      <c r="E495" s="63" t="s">
        <v>292</v>
      </c>
      <c r="F495" s="132">
        <v>2331</v>
      </c>
      <c r="G495" s="25">
        <v>2020</v>
      </c>
      <c r="H495" s="24">
        <v>600000</v>
      </c>
      <c r="I495" s="50">
        <v>0</v>
      </c>
      <c r="J495" s="58">
        <v>3132</v>
      </c>
      <c r="K495" s="24">
        <v>600000</v>
      </c>
      <c r="L495" s="35">
        <v>100</v>
      </c>
      <c r="M495" s="24"/>
      <c r="N495" s="24"/>
      <c r="O495" s="24"/>
      <c r="P495" s="24">
        <f>50000+30000</f>
        <v>80000</v>
      </c>
      <c r="Q495" s="24"/>
      <c r="R495" s="24"/>
      <c r="S495" s="24"/>
      <c r="T495" s="24">
        <f>550000-30000</f>
        <v>520000</v>
      </c>
      <c r="U495" s="24"/>
      <c r="V495" s="24"/>
      <c r="W495" s="24"/>
      <c r="X495" s="24"/>
      <c r="Y495" s="118">
        <f t="shared" si="83"/>
        <v>0</v>
      </c>
      <c r="Z495" s="24">
        <v>80000</v>
      </c>
      <c r="AA495" s="118">
        <f t="shared" si="79"/>
        <v>0</v>
      </c>
      <c r="AB495" s="118"/>
      <c r="AC495" s="24"/>
      <c r="AD495" s="118">
        <f t="shared" si="81"/>
        <v>520000</v>
      </c>
    </row>
    <row r="496" spans="1:30" ht="30.75">
      <c r="A496" s="171"/>
      <c r="B496" s="171"/>
      <c r="C496" s="171"/>
      <c r="D496" s="172"/>
      <c r="E496" s="26" t="s">
        <v>319</v>
      </c>
      <c r="F496" s="96">
        <v>2332</v>
      </c>
      <c r="G496" s="25" t="s">
        <v>201</v>
      </c>
      <c r="H496" s="24">
        <v>1489997</v>
      </c>
      <c r="I496" s="50">
        <v>62.63213952779771</v>
      </c>
      <c r="J496" s="58">
        <v>3132</v>
      </c>
      <c r="K496" s="20">
        <f>535175.6+14242</f>
        <v>549417.6</v>
      </c>
      <c r="L496" s="35">
        <v>100</v>
      </c>
      <c r="M496" s="24"/>
      <c r="N496" s="24"/>
      <c r="O496" s="24">
        <v>340000</v>
      </c>
      <c r="P496" s="24">
        <f>14242</f>
        <v>14242</v>
      </c>
      <c r="Q496" s="24">
        <f>535175.6-340000-211097.6</f>
        <v>-15922.00000000003</v>
      </c>
      <c r="R496" s="24"/>
      <c r="S496" s="24"/>
      <c r="T496" s="24"/>
      <c r="U496" s="24"/>
      <c r="V496" s="24"/>
      <c r="W496" s="24">
        <f>104597.6</f>
        <v>104597.6</v>
      </c>
      <c r="X496" s="24">
        <f>106500</f>
        <v>106500</v>
      </c>
      <c r="Y496" s="118">
        <f t="shared" si="83"/>
        <v>0</v>
      </c>
      <c r="Z496" s="24">
        <f>338320</f>
        <v>338320</v>
      </c>
      <c r="AA496" s="118">
        <f t="shared" si="79"/>
        <v>0</v>
      </c>
      <c r="AB496" s="118"/>
      <c r="AC496" s="24"/>
      <c r="AD496" s="118">
        <f t="shared" si="81"/>
        <v>211097.59999999998</v>
      </c>
    </row>
    <row r="497" spans="1:30" ht="30.75">
      <c r="A497" s="171"/>
      <c r="B497" s="171"/>
      <c r="C497" s="171"/>
      <c r="D497" s="172"/>
      <c r="E497" s="19" t="s">
        <v>744</v>
      </c>
      <c r="F497" s="132">
        <v>2333</v>
      </c>
      <c r="G497" s="25">
        <v>2020</v>
      </c>
      <c r="H497" s="24">
        <v>425000</v>
      </c>
      <c r="I497" s="50">
        <v>0</v>
      </c>
      <c r="J497" s="58">
        <v>3132</v>
      </c>
      <c r="K497" s="20">
        <f>425000+387887.2</f>
        <v>812887.2</v>
      </c>
      <c r="L497" s="35">
        <v>100</v>
      </c>
      <c r="M497" s="24"/>
      <c r="N497" s="24"/>
      <c r="O497" s="24"/>
      <c r="P497" s="24">
        <f>40000+50499.38-19000</f>
        <v>71499.38</v>
      </c>
      <c r="Q497" s="24">
        <f>337387.82-149797.17+149797.17+145000</f>
        <v>482387.82</v>
      </c>
      <c r="R497" s="24">
        <f>-1727.06+260727.06</f>
        <v>259000</v>
      </c>
      <c r="S497" s="24"/>
      <c r="T497" s="24">
        <f>385000+19000-149797.17-145000-109202.83</f>
        <v>0</v>
      </c>
      <c r="U497" s="24"/>
      <c r="V497" s="24">
        <f>1727.06-1727.06</f>
        <v>0</v>
      </c>
      <c r="W497" s="24">
        <f>149797.17-149797.17</f>
        <v>0</v>
      </c>
      <c r="X497" s="24"/>
      <c r="Y497" s="118">
        <f t="shared" si="83"/>
        <v>-5.820766091346741E-11</v>
      </c>
      <c r="Z497" s="24">
        <f>551794+249206</f>
        <v>801000</v>
      </c>
      <c r="AA497" s="118">
        <f t="shared" si="79"/>
        <v>11887.199999999953</v>
      </c>
      <c r="AB497" s="118"/>
      <c r="AC497" s="24"/>
      <c r="AD497" s="118">
        <f t="shared" si="81"/>
        <v>11887.199999999953</v>
      </c>
    </row>
    <row r="498" spans="1:30" ht="30.75">
      <c r="A498" s="171"/>
      <c r="B498" s="171"/>
      <c r="C498" s="171"/>
      <c r="D498" s="172"/>
      <c r="E498" s="19" t="s">
        <v>745</v>
      </c>
      <c r="F498" s="96">
        <v>2334</v>
      </c>
      <c r="G498" s="25">
        <v>2020</v>
      </c>
      <c r="H498" s="24">
        <v>425000</v>
      </c>
      <c r="I498" s="50">
        <v>0</v>
      </c>
      <c r="J498" s="58">
        <v>3132</v>
      </c>
      <c r="K498" s="20">
        <f>425000+447194.8</f>
        <v>872194.8</v>
      </c>
      <c r="L498" s="35">
        <v>100</v>
      </c>
      <c r="M498" s="24"/>
      <c r="N498" s="24"/>
      <c r="O498" s="24"/>
      <c r="P498" s="24">
        <f>40000+447194.8-80000</f>
        <v>407194.8</v>
      </c>
      <c r="Q498" s="24">
        <f>-15000</f>
        <v>-15000</v>
      </c>
      <c r="R498" s="24">
        <f>480000</f>
        <v>480000</v>
      </c>
      <c r="S498" s="24"/>
      <c r="T498" s="24">
        <f>385000+80000+15000-480000</f>
        <v>0</v>
      </c>
      <c r="U498" s="24"/>
      <c r="V498" s="24"/>
      <c r="W498" s="24"/>
      <c r="X498" s="24"/>
      <c r="Y498" s="118">
        <f t="shared" si="83"/>
        <v>5.820766091346741E-11</v>
      </c>
      <c r="Z498" s="24">
        <f>336585+475611</f>
        <v>812196</v>
      </c>
      <c r="AA498" s="118">
        <f t="shared" si="79"/>
        <v>59998.80000000005</v>
      </c>
      <c r="AB498" s="118"/>
      <c r="AC498" s="24">
        <v>-59998.8</v>
      </c>
      <c r="AD498" s="118">
        <f t="shared" si="81"/>
        <v>4.3655745685100555E-11</v>
      </c>
    </row>
    <row r="499" spans="1:30" ht="30.75">
      <c r="A499" s="171"/>
      <c r="B499" s="171"/>
      <c r="C499" s="171"/>
      <c r="D499" s="172"/>
      <c r="E499" s="63" t="s">
        <v>313</v>
      </c>
      <c r="F499" s="132">
        <v>2335</v>
      </c>
      <c r="G499" s="25">
        <v>2020</v>
      </c>
      <c r="H499" s="24">
        <v>163736</v>
      </c>
      <c r="I499" s="50">
        <v>0</v>
      </c>
      <c r="J499" s="58">
        <v>3132</v>
      </c>
      <c r="K499" s="20">
        <v>163736</v>
      </c>
      <c r="L499" s="35">
        <v>100</v>
      </c>
      <c r="M499" s="24"/>
      <c r="N499" s="24"/>
      <c r="O499" s="24"/>
      <c r="P499" s="24">
        <v>163736</v>
      </c>
      <c r="Q499" s="24">
        <f>-163736</f>
        <v>-163736</v>
      </c>
      <c r="R499" s="24"/>
      <c r="S499" s="24"/>
      <c r="T499" s="24"/>
      <c r="U499" s="24">
        <f>27589</f>
        <v>27589</v>
      </c>
      <c r="V499" s="24">
        <f>136147</f>
        <v>136147</v>
      </c>
      <c r="W499" s="24"/>
      <c r="X499" s="24"/>
      <c r="Y499" s="118">
        <f t="shared" si="83"/>
        <v>0</v>
      </c>
      <c r="Z499" s="24"/>
      <c r="AA499" s="118">
        <f t="shared" si="79"/>
        <v>0</v>
      </c>
      <c r="AB499" s="118"/>
      <c r="AC499" s="24"/>
      <c r="AD499" s="118">
        <f t="shared" si="81"/>
        <v>163736</v>
      </c>
    </row>
    <row r="500" spans="1:30" ht="30.75">
      <c r="A500" s="171"/>
      <c r="B500" s="171"/>
      <c r="C500" s="171"/>
      <c r="D500" s="172"/>
      <c r="E500" s="26" t="s">
        <v>314</v>
      </c>
      <c r="F500" s="96">
        <v>2336</v>
      </c>
      <c r="G500" s="25">
        <v>2020</v>
      </c>
      <c r="H500" s="24">
        <v>262000</v>
      </c>
      <c r="I500" s="50">
        <v>0</v>
      </c>
      <c r="J500" s="58">
        <v>3132</v>
      </c>
      <c r="K500" s="24">
        <v>262000</v>
      </c>
      <c r="L500" s="35">
        <v>100</v>
      </c>
      <c r="M500" s="24"/>
      <c r="N500" s="24"/>
      <c r="O500" s="24"/>
      <c r="P500" s="24">
        <v>262000</v>
      </c>
      <c r="Q500" s="24">
        <f>-262000</f>
        <v>-262000</v>
      </c>
      <c r="R500" s="24"/>
      <c r="S500" s="24"/>
      <c r="T500" s="24"/>
      <c r="U500" s="24"/>
      <c r="V500" s="24">
        <f>262000</f>
        <v>262000</v>
      </c>
      <c r="W500" s="24"/>
      <c r="X500" s="24"/>
      <c r="Y500" s="118">
        <f t="shared" si="83"/>
        <v>0</v>
      </c>
      <c r="Z500" s="24"/>
      <c r="AA500" s="118">
        <f t="shared" si="79"/>
        <v>0</v>
      </c>
      <c r="AB500" s="118"/>
      <c r="AC500" s="24"/>
      <c r="AD500" s="118">
        <f t="shared" si="81"/>
        <v>262000</v>
      </c>
    </row>
    <row r="501" spans="1:30" ht="53.25" customHeight="1">
      <c r="A501" s="171"/>
      <c r="B501" s="171"/>
      <c r="C501" s="171"/>
      <c r="D501" s="172"/>
      <c r="E501" s="19" t="s">
        <v>298</v>
      </c>
      <c r="F501" s="132">
        <v>2337</v>
      </c>
      <c r="G501" s="25">
        <v>2020</v>
      </c>
      <c r="H501" s="24">
        <v>1250000</v>
      </c>
      <c r="I501" s="50">
        <v>0</v>
      </c>
      <c r="J501" s="58">
        <v>3132</v>
      </c>
      <c r="K501" s="20">
        <f>1250000-1130000</f>
        <v>120000</v>
      </c>
      <c r="L501" s="35">
        <v>100</v>
      </c>
      <c r="M501" s="24"/>
      <c r="N501" s="24"/>
      <c r="O501" s="24"/>
      <c r="P501" s="24">
        <f>70000-500</f>
        <v>69500</v>
      </c>
      <c r="Q501" s="24"/>
      <c r="R501" s="24"/>
      <c r="S501" s="24"/>
      <c r="T501" s="24">
        <f>600000+500-550000</f>
        <v>50500</v>
      </c>
      <c r="U501" s="24"/>
      <c r="V501" s="24"/>
      <c r="W501" s="24">
        <f>580000-580000</f>
        <v>0</v>
      </c>
      <c r="X501" s="24"/>
      <c r="Y501" s="118">
        <f t="shared" si="83"/>
        <v>0</v>
      </c>
      <c r="Z501" s="24">
        <f>69423</f>
        <v>69423</v>
      </c>
      <c r="AA501" s="118">
        <f t="shared" si="79"/>
        <v>77</v>
      </c>
      <c r="AB501" s="118"/>
      <c r="AC501" s="24"/>
      <c r="AD501" s="118">
        <f t="shared" si="81"/>
        <v>50577</v>
      </c>
    </row>
    <row r="502" spans="1:30" ht="30.75">
      <c r="A502" s="171"/>
      <c r="B502" s="171"/>
      <c r="C502" s="171"/>
      <c r="D502" s="172"/>
      <c r="E502" s="26" t="s">
        <v>322</v>
      </c>
      <c r="F502" s="96">
        <v>2338</v>
      </c>
      <c r="G502" s="25" t="s">
        <v>201</v>
      </c>
      <c r="H502" s="24">
        <v>1324489</v>
      </c>
      <c r="I502" s="20">
        <v>43.298887344477755</v>
      </c>
      <c r="J502" s="58">
        <v>3132</v>
      </c>
      <c r="K502" s="24">
        <v>248321.41</v>
      </c>
      <c r="L502" s="35">
        <v>80</v>
      </c>
      <c r="M502" s="24"/>
      <c r="N502" s="24">
        <v>155842.53</v>
      </c>
      <c r="O502" s="24">
        <v>60508.42</v>
      </c>
      <c r="P502" s="24">
        <f>31970.46-187000</f>
        <v>-155029.54</v>
      </c>
      <c r="Q502" s="24">
        <f>11000</f>
        <v>11000</v>
      </c>
      <c r="R502" s="24"/>
      <c r="S502" s="24"/>
      <c r="T502" s="24">
        <f>187000-11000</f>
        <v>176000</v>
      </c>
      <c r="U502" s="24"/>
      <c r="V502" s="24"/>
      <c r="W502" s="24"/>
      <c r="X502" s="24"/>
      <c r="Y502" s="118">
        <f t="shared" si="83"/>
        <v>0</v>
      </c>
      <c r="Z502" s="24">
        <f>61079.6+11176</f>
        <v>72255.6</v>
      </c>
      <c r="AA502" s="118">
        <f t="shared" si="79"/>
        <v>65.80999999999767</v>
      </c>
      <c r="AB502" s="118"/>
      <c r="AC502" s="24">
        <v>-176065.49</v>
      </c>
      <c r="AD502" s="118">
        <f t="shared" si="81"/>
        <v>0.3200000000069849</v>
      </c>
    </row>
    <row r="503" spans="1:30" ht="30.75">
      <c r="A503" s="171"/>
      <c r="B503" s="171"/>
      <c r="C503" s="171"/>
      <c r="D503" s="172"/>
      <c r="E503" s="26" t="s">
        <v>734</v>
      </c>
      <c r="F503" s="132">
        <v>2339</v>
      </c>
      <c r="G503" s="25">
        <v>2020</v>
      </c>
      <c r="H503" s="24">
        <v>1700000</v>
      </c>
      <c r="I503" s="50">
        <v>0</v>
      </c>
      <c r="J503" s="58">
        <v>3132</v>
      </c>
      <c r="K503" s="24">
        <v>1700000</v>
      </c>
      <c r="L503" s="35">
        <v>100</v>
      </c>
      <c r="M503" s="24"/>
      <c r="N503" s="24"/>
      <c r="O503" s="24"/>
      <c r="P503" s="24">
        <f>100000+3000</f>
        <v>103000</v>
      </c>
      <c r="Q503" s="24">
        <f>900000-130000</f>
        <v>770000</v>
      </c>
      <c r="R503" s="24">
        <f>827000</f>
        <v>827000</v>
      </c>
      <c r="S503" s="24">
        <f>-200000</f>
        <v>-200000</v>
      </c>
      <c r="T503" s="24">
        <f>130000-130000</f>
        <v>0</v>
      </c>
      <c r="U503" s="24">
        <f>800000-3000-100000-697000</f>
        <v>0</v>
      </c>
      <c r="V503" s="24"/>
      <c r="W503" s="24">
        <f>700000-700000+200000</f>
        <v>200000</v>
      </c>
      <c r="X503" s="24">
        <f>100000-100000</f>
        <v>0</v>
      </c>
      <c r="Y503" s="118">
        <f t="shared" si="83"/>
        <v>0</v>
      </c>
      <c r="Z503" s="24">
        <f>103000+759528.71+405435.82+230269.14</f>
        <v>1498233.67</v>
      </c>
      <c r="AA503" s="118">
        <f t="shared" si="79"/>
        <v>1766.3300000000745</v>
      </c>
      <c r="AB503" s="118"/>
      <c r="AC503" s="24">
        <v>-171749.52</v>
      </c>
      <c r="AD503" s="118">
        <f t="shared" si="81"/>
        <v>30016.810000000085</v>
      </c>
    </row>
    <row r="504" spans="1:30" ht="30.75">
      <c r="A504" s="171"/>
      <c r="B504" s="171"/>
      <c r="C504" s="171"/>
      <c r="D504" s="172"/>
      <c r="E504" s="19" t="s">
        <v>873</v>
      </c>
      <c r="F504" s="96">
        <v>2360</v>
      </c>
      <c r="G504" s="25">
        <v>2020</v>
      </c>
      <c r="H504" s="24">
        <v>1500000</v>
      </c>
      <c r="I504" s="50">
        <v>0</v>
      </c>
      <c r="J504" s="58">
        <v>3132</v>
      </c>
      <c r="K504" s="20">
        <f>1500000-1400000</f>
        <v>100000</v>
      </c>
      <c r="L504" s="35">
        <v>100</v>
      </c>
      <c r="M504" s="20"/>
      <c r="N504" s="20"/>
      <c r="O504" s="20"/>
      <c r="P504" s="20">
        <v>100000</v>
      </c>
      <c r="Q504" s="20">
        <f>-7000</f>
        <v>-7000</v>
      </c>
      <c r="R504" s="20"/>
      <c r="S504" s="20"/>
      <c r="T504" s="20"/>
      <c r="U504" s="20"/>
      <c r="V504" s="20">
        <f>1400000-1400000</f>
        <v>0</v>
      </c>
      <c r="W504" s="20">
        <f>7000</f>
        <v>7000</v>
      </c>
      <c r="X504" s="20"/>
      <c r="Y504" s="118">
        <f>K504-M504-N504-O504-P504-Q504-R504-S504-T504-U504-V504-W504-X504</f>
        <v>0</v>
      </c>
      <c r="Z504" s="24">
        <v>93000</v>
      </c>
      <c r="AA504" s="118">
        <f t="shared" si="79"/>
        <v>0</v>
      </c>
      <c r="AB504" s="118"/>
      <c r="AC504" s="24">
        <v>-7000</v>
      </c>
      <c r="AD504" s="118">
        <f>K504-Z504+AC504-AB504</f>
        <v>0</v>
      </c>
    </row>
    <row r="505" spans="1:30" ht="30.75">
      <c r="A505" s="171"/>
      <c r="B505" s="171"/>
      <c r="C505" s="171"/>
      <c r="D505" s="172"/>
      <c r="E505" s="19" t="s">
        <v>872</v>
      </c>
      <c r="F505" s="96">
        <v>2340</v>
      </c>
      <c r="G505" s="25">
        <v>2020</v>
      </c>
      <c r="H505" s="24">
        <v>900000</v>
      </c>
      <c r="I505" s="50">
        <v>0</v>
      </c>
      <c r="J505" s="58">
        <v>3132</v>
      </c>
      <c r="K505" s="20">
        <v>900000</v>
      </c>
      <c r="L505" s="35">
        <v>100</v>
      </c>
      <c r="M505" s="24"/>
      <c r="N505" s="24"/>
      <c r="O505" s="24"/>
      <c r="P505" s="24">
        <f>70000+10000</f>
        <v>80000</v>
      </c>
      <c r="Q505" s="24">
        <f>398147</f>
        <v>398147</v>
      </c>
      <c r="R505" s="24">
        <f>82000</f>
        <v>82000</v>
      </c>
      <c r="S505" s="24">
        <v>324000</v>
      </c>
      <c r="T505" s="24"/>
      <c r="U505" s="24"/>
      <c r="V505" s="24">
        <f>830000-10000-398147-82000-324000</f>
        <v>15853</v>
      </c>
      <c r="W505" s="24"/>
      <c r="X505" s="24"/>
      <c r="Y505" s="118">
        <f t="shared" si="83"/>
        <v>0</v>
      </c>
      <c r="Z505" s="24">
        <f>79528+475544.54+4620.86+323837.68</f>
        <v>883531.0800000001</v>
      </c>
      <c r="AA505" s="118">
        <f t="shared" si="79"/>
        <v>615.9199999999255</v>
      </c>
      <c r="AB505" s="118"/>
      <c r="AC505" s="24"/>
      <c r="AD505" s="118">
        <f t="shared" si="81"/>
        <v>16468.919999999925</v>
      </c>
    </row>
    <row r="506" spans="1:30" ht="30.75">
      <c r="A506" s="171"/>
      <c r="B506" s="171"/>
      <c r="C506" s="171"/>
      <c r="D506" s="172"/>
      <c r="E506" s="19" t="s">
        <v>295</v>
      </c>
      <c r="F506" s="132">
        <v>2341</v>
      </c>
      <c r="G506" s="25">
        <v>2020</v>
      </c>
      <c r="H506" s="24">
        <v>1490000</v>
      </c>
      <c r="I506" s="50">
        <v>0</v>
      </c>
      <c r="J506" s="58">
        <v>3132</v>
      </c>
      <c r="K506" s="20">
        <v>1490000</v>
      </c>
      <c r="L506" s="35">
        <v>100</v>
      </c>
      <c r="M506" s="24"/>
      <c r="N506" s="24">
        <v>83464</v>
      </c>
      <c r="O506" s="24"/>
      <c r="P506" s="24"/>
      <c r="Q506" s="24">
        <f>900000-900000</f>
        <v>0</v>
      </c>
      <c r="R506" s="24">
        <v>900000</v>
      </c>
      <c r="S506" s="24">
        <f>55554.13-55554.13</f>
        <v>0</v>
      </c>
      <c r="T506" s="24">
        <f>844445.87-844445.87</f>
        <v>0</v>
      </c>
      <c r="U506" s="24"/>
      <c r="V506" s="24"/>
      <c r="W506" s="24">
        <f>1406536-900000</f>
        <v>506536</v>
      </c>
      <c r="X506" s="24"/>
      <c r="Y506" s="118">
        <f t="shared" si="83"/>
        <v>0</v>
      </c>
      <c r="Z506" s="24">
        <f>83464+900000</f>
        <v>983464</v>
      </c>
      <c r="AA506" s="118">
        <f t="shared" si="79"/>
        <v>0</v>
      </c>
      <c r="AB506" s="118"/>
      <c r="AC506" s="24"/>
      <c r="AD506" s="118">
        <f t="shared" si="81"/>
        <v>506536</v>
      </c>
    </row>
    <row r="507" spans="1:30" ht="30.75">
      <c r="A507" s="171"/>
      <c r="B507" s="171"/>
      <c r="C507" s="171"/>
      <c r="D507" s="172"/>
      <c r="E507" s="26" t="s">
        <v>334</v>
      </c>
      <c r="F507" s="96">
        <v>2342</v>
      </c>
      <c r="G507" s="25" t="s">
        <v>201</v>
      </c>
      <c r="H507" s="24">
        <v>953040</v>
      </c>
      <c r="I507" s="20">
        <f>(K507/H507*100-100)*-1</f>
        <v>48.32710064635272</v>
      </c>
      <c r="J507" s="58">
        <v>3132</v>
      </c>
      <c r="K507" s="24">
        <f>365279-53561+180745.4</f>
        <v>492463.4</v>
      </c>
      <c r="L507" s="134">
        <v>100</v>
      </c>
      <c r="M507" s="24"/>
      <c r="N507" s="24">
        <f>87115.56+224884.44-282</f>
        <v>311718</v>
      </c>
      <c r="O507" s="24"/>
      <c r="P507" s="24"/>
      <c r="Q507" s="24">
        <f>180745.4-130000-59637.4</f>
        <v>-8892.000000000007</v>
      </c>
      <c r="R507" s="24">
        <f>189637.4</f>
        <v>189637.4</v>
      </c>
      <c r="S507" s="24"/>
      <c r="T507" s="24">
        <f>130000-130000</f>
        <v>0</v>
      </c>
      <c r="U507" s="24"/>
      <c r="V507" s="24"/>
      <c r="W507" s="24">
        <f>59637.4-59637.4</f>
        <v>0</v>
      </c>
      <c r="X507" s="24">
        <f>53279-53279</f>
        <v>0</v>
      </c>
      <c r="Y507" s="118">
        <f t="shared" si="83"/>
        <v>2.9103830456733704E-11</v>
      </c>
      <c r="Z507" s="24">
        <f>302826</f>
        <v>302826</v>
      </c>
      <c r="AA507" s="118">
        <f t="shared" si="79"/>
        <v>189637.40000000002</v>
      </c>
      <c r="AB507" s="118"/>
      <c r="AC507" s="24"/>
      <c r="AD507" s="118">
        <f t="shared" si="81"/>
        <v>189637.40000000002</v>
      </c>
    </row>
    <row r="508" spans="1:30" ht="30.75">
      <c r="A508" s="171"/>
      <c r="B508" s="171"/>
      <c r="C508" s="171"/>
      <c r="D508" s="172"/>
      <c r="E508" s="19" t="s">
        <v>289</v>
      </c>
      <c r="F508" s="132">
        <v>2343</v>
      </c>
      <c r="G508" s="25">
        <v>2020</v>
      </c>
      <c r="H508" s="24">
        <v>800000</v>
      </c>
      <c r="I508" s="50">
        <v>0</v>
      </c>
      <c r="J508" s="58">
        <v>3132</v>
      </c>
      <c r="K508" s="20">
        <v>800000</v>
      </c>
      <c r="L508" s="35">
        <v>100</v>
      </c>
      <c r="M508" s="24"/>
      <c r="N508" s="24"/>
      <c r="O508" s="24"/>
      <c r="P508" s="24">
        <f>60000+43000</f>
        <v>103000</v>
      </c>
      <c r="Q508" s="24"/>
      <c r="R508" s="24"/>
      <c r="S508" s="24">
        <f>574500</f>
        <v>574500</v>
      </c>
      <c r="T508" s="24"/>
      <c r="U508" s="24"/>
      <c r="V508" s="24"/>
      <c r="W508" s="24">
        <f>740000-43000-574500</f>
        <v>122500</v>
      </c>
      <c r="X508" s="24"/>
      <c r="Y508" s="118">
        <f t="shared" si="83"/>
        <v>0</v>
      </c>
      <c r="Z508" s="24">
        <f>103000+571275.13</f>
        <v>674275.13</v>
      </c>
      <c r="AA508" s="118">
        <f t="shared" si="79"/>
        <v>3224.8699999999953</v>
      </c>
      <c r="AB508" s="118"/>
      <c r="AC508" s="24"/>
      <c r="AD508" s="118">
        <f t="shared" si="81"/>
        <v>125724.87</v>
      </c>
    </row>
    <row r="509" spans="1:30" ht="30.75">
      <c r="A509" s="171"/>
      <c r="B509" s="171"/>
      <c r="C509" s="171"/>
      <c r="D509" s="172"/>
      <c r="E509" s="26" t="s">
        <v>721</v>
      </c>
      <c r="F509" s="96">
        <v>2344</v>
      </c>
      <c r="G509" s="25">
        <v>2020</v>
      </c>
      <c r="H509" s="24">
        <v>760000</v>
      </c>
      <c r="I509" s="50">
        <v>0</v>
      </c>
      <c r="J509" s="58">
        <v>3132</v>
      </c>
      <c r="K509" s="24">
        <v>760000</v>
      </c>
      <c r="L509" s="35">
        <v>100</v>
      </c>
      <c r="M509" s="20"/>
      <c r="N509" s="20"/>
      <c r="O509" s="20"/>
      <c r="P509" s="20">
        <f>60000+28000</f>
        <v>88000</v>
      </c>
      <c r="Q509" s="20"/>
      <c r="R509" s="20"/>
      <c r="S509" s="20"/>
      <c r="T509" s="20"/>
      <c r="U509" s="20"/>
      <c r="V509" s="20"/>
      <c r="W509" s="20">
        <f>700000-28000</f>
        <v>672000</v>
      </c>
      <c r="X509" s="20"/>
      <c r="Y509" s="118">
        <f t="shared" si="83"/>
        <v>0</v>
      </c>
      <c r="Z509" s="24">
        <f>88000</f>
        <v>88000</v>
      </c>
      <c r="AA509" s="118">
        <f t="shared" si="79"/>
        <v>0</v>
      </c>
      <c r="AB509" s="118"/>
      <c r="AC509" s="24"/>
      <c r="AD509" s="118">
        <f t="shared" si="81"/>
        <v>672000</v>
      </c>
    </row>
    <row r="510" spans="1:30" ht="30.75">
      <c r="A510" s="171"/>
      <c r="B510" s="171"/>
      <c r="C510" s="171"/>
      <c r="D510" s="172"/>
      <c r="E510" s="26" t="s">
        <v>306</v>
      </c>
      <c r="F510" s="132">
        <v>2345</v>
      </c>
      <c r="G510" s="25">
        <v>2020</v>
      </c>
      <c r="H510" s="24">
        <v>450000</v>
      </c>
      <c r="I510" s="50">
        <v>0</v>
      </c>
      <c r="J510" s="58">
        <v>3132</v>
      </c>
      <c r="K510" s="24">
        <v>450000</v>
      </c>
      <c r="L510" s="35">
        <v>100</v>
      </c>
      <c r="M510" s="20"/>
      <c r="N510" s="20"/>
      <c r="O510" s="20"/>
      <c r="P510" s="20">
        <f>50000+10000</f>
        <v>60000</v>
      </c>
      <c r="Q510" s="20"/>
      <c r="R510" s="20">
        <f>390000</f>
        <v>390000</v>
      </c>
      <c r="S510" s="20">
        <f>-6781.81</f>
        <v>-6781.81</v>
      </c>
      <c r="T510" s="20"/>
      <c r="U510" s="20"/>
      <c r="V510" s="20"/>
      <c r="W510" s="20">
        <f>400000-10000-390000+6781.81</f>
        <v>6781.81</v>
      </c>
      <c r="X510" s="20"/>
      <c r="Y510" s="118">
        <f t="shared" si="83"/>
        <v>0</v>
      </c>
      <c r="Z510" s="24">
        <f>60000+383218.19</f>
        <v>443218.19</v>
      </c>
      <c r="AA510" s="118">
        <f t="shared" si="79"/>
        <v>0</v>
      </c>
      <c r="AB510" s="118"/>
      <c r="AC510" s="24"/>
      <c r="AD510" s="118">
        <f t="shared" si="81"/>
        <v>6781.809999999998</v>
      </c>
    </row>
    <row r="511" spans="1:30" ht="30.75">
      <c r="A511" s="171"/>
      <c r="B511" s="171"/>
      <c r="C511" s="171"/>
      <c r="D511" s="172"/>
      <c r="E511" s="26" t="s">
        <v>300</v>
      </c>
      <c r="F511" s="96">
        <v>2346</v>
      </c>
      <c r="G511" s="25">
        <v>2020</v>
      </c>
      <c r="H511" s="24">
        <v>537000</v>
      </c>
      <c r="I511" s="50">
        <v>0</v>
      </c>
      <c r="J511" s="58">
        <v>3132</v>
      </c>
      <c r="K511" s="133">
        <f>537000-527000</f>
        <v>10000</v>
      </c>
      <c r="L511" s="35">
        <v>100</v>
      </c>
      <c r="M511" s="20"/>
      <c r="N511" s="20"/>
      <c r="O511" s="20"/>
      <c r="P511" s="20">
        <f>50000-40000</f>
        <v>10000</v>
      </c>
      <c r="Q511" s="20">
        <f>-10000</f>
        <v>-10000</v>
      </c>
      <c r="R511" s="20"/>
      <c r="S511" s="20"/>
      <c r="T511" s="20"/>
      <c r="U511" s="20"/>
      <c r="V511" s="20"/>
      <c r="W511" s="20">
        <f>487000-487000+10000</f>
        <v>10000</v>
      </c>
      <c r="X511" s="20"/>
      <c r="Y511" s="118">
        <f t="shared" si="83"/>
        <v>0</v>
      </c>
      <c r="Z511" s="24"/>
      <c r="AA511" s="118">
        <f t="shared" si="79"/>
        <v>0</v>
      </c>
      <c r="AB511" s="118"/>
      <c r="AC511" s="24"/>
      <c r="AD511" s="118">
        <f t="shared" si="81"/>
        <v>10000</v>
      </c>
    </row>
    <row r="512" spans="1:30" ht="30.75">
      <c r="A512" s="171"/>
      <c r="B512" s="171"/>
      <c r="C512" s="171"/>
      <c r="D512" s="172"/>
      <c r="E512" s="26" t="s">
        <v>320</v>
      </c>
      <c r="F512" s="132">
        <v>2347</v>
      </c>
      <c r="G512" s="25">
        <v>2020</v>
      </c>
      <c r="H512" s="20">
        <v>1384000</v>
      </c>
      <c r="I512" s="50">
        <v>0</v>
      </c>
      <c r="J512" s="58">
        <v>3132</v>
      </c>
      <c r="K512" s="20">
        <v>1384000</v>
      </c>
      <c r="L512" s="35">
        <v>100</v>
      </c>
      <c r="M512" s="20"/>
      <c r="N512" s="20"/>
      <c r="O512" s="20"/>
      <c r="P512" s="20">
        <f>700000-326000+326000</f>
        <v>700000</v>
      </c>
      <c r="Q512" s="20">
        <f>423540.5</f>
        <v>423540.5</v>
      </c>
      <c r="R512" s="20"/>
      <c r="S512" s="20">
        <f>684000-326000-97540.5</f>
        <v>260459.5</v>
      </c>
      <c r="T512" s="20">
        <f>326000-326000</f>
        <v>0</v>
      </c>
      <c r="U512" s="20"/>
      <c r="V512" s="20"/>
      <c r="W512" s="20"/>
      <c r="X512" s="20"/>
      <c r="Y512" s="118">
        <f t="shared" si="83"/>
        <v>0</v>
      </c>
      <c r="Z512" s="24">
        <f>677085.7+446454.8</f>
        <v>1123540.5</v>
      </c>
      <c r="AA512" s="118">
        <f t="shared" si="79"/>
        <v>260459.5</v>
      </c>
      <c r="AB512" s="118"/>
      <c r="AC512" s="24">
        <v>-217156.56</v>
      </c>
      <c r="AD512" s="118">
        <f t="shared" si="81"/>
        <v>43302.94</v>
      </c>
    </row>
    <row r="513" spans="1:30" ht="30.75">
      <c r="A513" s="171"/>
      <c r="B513" s="171"/>
      <c r="C513" s="171"/>
      <c r="D513" s="172"/>
      <c r="E513" s="26" t="s">
        <v>323</v>
      </c>
      <c r="F513" s="96">
        <v>2348</v>
      </c>
      <c r="G513" s="25">
        <v>2020</v>
      </c>
      <c r="H513" s="24">
        <v>37043</v>
      </c>
      <c r="I513" s="50">
        <v>0</v>
      </c>
      <c r="J513" s="58">
        <v>3132</v>
      </c>
      <c r="K513" s="24">
        <v>37043</v>
      </c>
      <c r="L513" s="35">
        <v>100</v>
      </c>
      <c r="M513" s="20"/>
      <c r="N513" s="20"/>
      <c r="O513" s="20"/>
      <c r="P513" s="20">
        <v>37043</v>
      </c>
      <c r="Q513" s="20">
        <f>Q514-37043</f>
        <v>-37043</v>
      </c>
      <c r="R513" s="20"/>
      <c r="S513" s="20"/>
      <c r="T513" s="20"/>
      <c r="U513" s="20"/>
      <c r="V513" s="20"/>
      <c r="W513" s="20">
        <f>37043</f>
        <v>37043</v>
      </c>
      <c r="X513" s="20"/>
      <c r="Y513" s="118">
        <f t="shared" si="83"/>
        <v>0</v>
      </c>
      <c r="Z513" s="24"/>
      <c r="AA513" s="118">
        <f t="shared" si="79"/>
        <v>0</v>
      </c>
      <c r="AB513" s="118"/>
      <c r="AC513" s="24">
        <v>-37043</v>
      </c>
      <c r="AD513" s="118">
        <f t="shared" si="81"/>
        <v>0</v>
      </c>
    </row>
    <row r="514" spans="1:30" ht="30.75">
      <c r="A514" s="171"/>
      <c r="B514" s="171"/>
      <c r="C514" s="171"/>
      <c r="D514" s="172"/>
      <c r="E514" s="26" t="s">
        <v>301</v>
      </c>
      <c r="F514" s="132">
        <v>2349</v>
      </c>
      <c r="G514" s="25">
        <v>2020</v>
      </c>
      <c r="H514" s="24">
        <v>1480000</v>
      </c>
      <c r="I514" s="50">
        <v>0</v>
      </c>
      <c r="J514" s="58">
        <v>3132</v>
      </c>
      <c r="K514" s="133">
        <f>1480000-1360000</f>
        <v>120000</v>
      </c>
      <c r="L514" s="35">
        <v>100</v>
      </c>
      <c r="M514" s="20"/>
      <c r="N514" s="20"/>
      <c r="O514" s="20"/>
      <c r="P514" s="20">
        <f>100000-12000</f>
        <v>88000</v>
      </c>
      <c r="Q514" s="20"/>
      <c r="R514" s="20"/>
      <c r="S514" s="20"/>
      <c r="T514" s="20">
        <f>12000</f>
        <v>12000</v>
      </c>
      <c r="U514" s="20"/>
      <c r="V514" s="20"/>
      <c r="W514" s="20">
        <f>1380000-1360000</f>
        <v>20000</v>
      </c>
      <c r="X514" s="20"/>
      <c r="Y514" s="118">
        <f t="shared" si="83"/>
        <v>0</v>
      </c>
      <c r="Z514" s="24">
        <f>87660</f>
        <v>87660</v>
      </c>
      <c r="AA514" s="118">
        <f t="shared" si="79"/>
        <v>340</v>
      </c>
      <c r="AB514" s="118"/>
      <c r="AC514" s="24"/>
      <c r="AD514" s="118">
        <f t="shared" si="81"/>
        <v>32340</v>
      </c>
    </row>
    <row r="515" spans="1:30" ht="30.75">
      <c r="A515" s="171"/>
      <c r="B515" s="171"/>
      <c r="C515" s="171"/>
      <c r="D515" s="172"/>
      <c r="E515" s="63" t="s">
        <v>294</v>
      </c>
      <c r="F515" s="96">
        <v>2350</v>
      </c>
      <c r="G515" s="25">
        <v>2020</v>
      </c>
      <c r="H515" s="24">
        <v>1490000</v>
      </c>
      <c r="I515" s="50">
        <v>0</v>
      </c>
      <c r="J515" s="58">
        <v>3132</v>
      </c>
      <c r="K515" s="24">
        <v>1490000</v>
      </c>
      <c r="L515" s="35">
        <v>100</v>
      </c>
      <c r="M515" s="20"/>
      <c r="N515" s="20"/>
      <c r="O515" s="20"/>
      <c r="P515" s="20">
        <f>40000-12500</f>
        <v>27500</v>
      </c>
      <c r="Q515" s="20">
        <f>-20000</f>
        <v>-20000</v>
      </c>
      <c r="R515" s="20">
        <f>1482500</f>
        <v>1482500</v>
      </c>
      <c r="S515" s="20">
        <f>-87500</f>
        <v>-87500</v>
      </c>
      <c r="T515" s="20">
        <f>2500-2500</f>
        <v>0</v>
      </c>
      <c r="U515" s="20"/>
      <c r="V515" s="20">
        <f>10000-10000</f>
        <v>0</v>
      </c>
      <c r="W515" s="20">
        <f>1450000+20000-1470000+87500</f>
        <v>87500</v>
      </c>
      <c r="X515" s="20"/>
      <c r="Y515" s="118">
        <f t="shared" si="83"/>
        <v>0</v>
      </c>
      <c r="Z515" s="24">
        <f>7500+1394901.08</f>
        <v>1402401.08</v>
      </c>
      <c r="AA515" s="118">
        <f t="shared" si="79"/>
        <v>98.9199999999255</v>
      </c>
      <c r="AB515" s="118"/>
      <c r="AC515" s="24">
        <v>-46969.9</v>
      </c>
      <c r="AD515" s="118">
        <f t="shared" si="81"/>
        <v>40629.019999999924</v>
      </c>
    </row>
    <row r="516" spans="1:30" ht="30.75">
      <c r="A516" s="171"/>
      <c r="B516" s="171"/>
      <c r="C516" s="171"/>
      <c r="D516" s="172"/>
      <c r="E516" s="19" t="s">
        <v>297</v>
      </c>
      <c r="F516" s="132">
        <v>2351</v>
      </c>
      <c r="G516" s="25">
        <v>2020</v>
      </c>
      <c r="H516" s="24">
        <v>2400000</v>
      </c>
      <c r="I516" s="50">
        <v>0</v>
      </c>
      <c r="J516" s="58">
        <v>3132</v>
      </c>
      <c r="K516" s="20">
        <f>2400000-2390000</f>
        <v>10000</v>
      </c>
      <c r="L516" s="35">
        <v>100</v>
      </c>
      <c r="M516" s="20"/>
      <c r="N516" s="20"/>
      <c r="O516" s="20"/>
      <c r="P516" s="20">
        <f>50000-40000</f>
        <v>10000</v>
      </c>
      <c r="Q516" s="20">
        <f>-10000</f>
        <v>-10000</v>
      </c>
      <c r="R516" s="20"/>
      <c r="S516" s="20"/>
      <c r="T516" s="20"/>
      <c r="U516" s="20"/>
      <c r="V516" s="20"/>
      <c r="W516" s="20">
        <f>2350000-2350000+10000</f>
        <v>10000</v>
      </c>
      <c r="X516" s="20"/>
      <c r="Y516" s="118">
        <f t="shared" si="83"/>
        <v>0</v>
      </c>
      <c r="Z516" s="24"/>
      <c r="AA516" s="118">
        <f t="shared" si="79"/>
        <v>0</v>
      </c>
      <c r="AB516" s="118"/>
      <c r="AC516" s="24">
        <v>-10000</v>
      </c>
      <c r="AD516" s="118">
        <f t="shared" si="81"/>
        <v>0</v>
      </c>
    </row>
    <row r="517" spans="1:30" ht="30.75">
      <c r="A517" s="171"/>
      <c r="B517" s="171"/>
      <c r="C517" s="171"/>
      <c r="D517" s="172"/>
      <c r="E517" s="26" t="s">
        <v>335</v>
      </c>
      <c r="F517" s="96">
        <v>2352</v>
      </c>
      <c r="G517" s="25" t="s">
        <v>201</v>
      </c>
      <c r="H517" s="24">
        <v>1030599</v>
      </c>
      <c r="I517" s="20">
        <f>(K517/H517*100-100)*-1</f>
        <v>45.30382816206886</v>
      </c>
      <c r="J517" s="58">
        <v>3132</v>
      </c>
      <c r="K517" s="24">
        <f>363531+1878+198289.2</f>
        <v>563698.2</v>
      </c>
      <c r="L517" s="134">
        <v>100</v>
      </c>
      <c r="M517" s="20"/>
      <c r="N517" s="20">
        <f>363531+282</f>
        <v>363813</v>
      </c>
      <c r="O517" s="20"/>
      <c r="P517" s="20">
        <f>198289.2-131000-70000</f>
        <v>-2710.7999999999884</v>
      </c>
      <c r="Q517" s="20">
        <f>-4633.2</f>
        <v>-4633.2</v>
      </c>
      <c r="R517" s="20">
        <f>207229.2</f>
        <v>207229.2</v>
      </c>
      <c r="S517" s="20"/>
      <c r="T517" s="20">
        <f>30000+70000-100000</f>
        <v>0</v>
      </c>
      <c r="U517" s="20"/>
      <c r="V517" s="20">
        <f>20000-20000</f>
        <v>0</v>
      </c>
      <c r="W517" s="20">
        <f>81000+4633.2-85633.2</f>
        <v>0</v>
      </c>
      <c r="X517" s="20">
        <f>1596-1596</f>
        <v>0</v>
      </c>
      <c r="Y517" s="118">
        <f t="shared" si="83"/>
        <v>-5.820766091346741E-11</v>
      </c>
      <c r="Z517" s="24">
        <f>356469</f>
        <v>356469</v>
      </c>
      <c r="AA517" s="118">
        <f t="shared" si="79"/>
        <v>207229.19999999995</v>
      </c>
      <c r="AB517" s="118"/>
      <c r="AC517" s="24"/>
      <c r="AD517" s="118">
        <f t="shared" si="81"/>
        <v>207229.19999999995</v>
      </c>
    </row>
    <row r="518" spans="1:30" ht="30.75">
      <c r="A518" s="171"/>
      <c r="B518" s="171"/>
      <c r="C518" s="171"/>
      <c r="D518" s="172"/>
      <c r="E518" s="26" t="s">
        <v>316</v>
      </c>
      <c r="F518" s="132">
        <v>2353</v>
      </c>
      <c r="G518" s="25">
        <v>2020</v>
      </c>
      <c r="H518" s="24">
        <v>283000</v>
      </c>
      <c r="I518" s="50">
        <v>0</v>
      </c>
      <c r="J518" s="58">
        <v>3132</v>
      </c>
      <c r="K518" s="24">
        <f>283000+707439.2</f>
        <v>990439.2</v>
      </c>
      <c r="L518" s="35">
        <v>100</v>
      </c>
      <c r="M518" s="20"/>
      <c r="N518" s="20"/>
      <c r="O518" s="20">
        <f>277664.58</f>
        <v>277664.58</v>
      </c>
      <c r="P518" s="20">
        <f>283000+429774.62-560000-326000</f>
        <v>-173225.38</v>
      </c>
      <c r="Q518" s="20">
        <f>-104439.2</f>
        <v>-104439.2</v>
      </c>
      <c r="R518" s="20"/>
      <c r="S518" s="20">
        <f>326000-248231.82</f>
        <v>77768.18</v>
      </c>
      <c r="T518" s="20">
        <f>560000</f>
        <v>560000</v>
      </c>
      <c r="U518" s="20"/>
      <c r="V518" s="20"/>
      <c r="W518" s="20">
        <f>104439.2+248231.82</f>
        <v>352671.02</v>
      </c>
      <c r="X518" s="20"/>
      <c r="Y518" s="118">
        <f t="shared" si="83"/>
        <v>-2.3283064365386963E-10</v>
      </c>
      <c r="Z518" s="24"/>
      <c r="AA518" s="118">
        <f t="shared" si="79"/>
        <v>77768.18000000001</v>
      </c>
      <c r="AB518" s="118"/>
      <c r="AC518" s="24">
        <v>-10649.2</v>
      </c>
      <c r="AD518" s="118">
        <f t="shared" si="81"/>
        <v>979790</v>
      </c>
    </row>
    <row r="519" spans="1:30" ht="21">
      <c r="A519" s="171"/>
      <c r="B519" s="171"/>
      <c r="C519" s="171"/>
      <c r="D519" s="172"/>
      <c r="E519" s="26" t="s">
        <v>290</v>
      </c>
      <c r="F519" s="96">
        <v>2354</v>
      </c>
      <c r="G519" s="25">
        <v>2020</v>
      </c>
      <c r="H519" s="24">
        <v>700000</v>
      </c>
      <c r="I519" s="50">
        <v>0</v>
      </c>
      <c r="J519" s="58">
        <v>3132</v>
      </c>
      <c r="K519" s="24">
        <f>700000-350000</f>
        <v>350000</v>
      </c>
      <c r="L519" s="35">
        <v>100</v>
      </c>
      <c r="M519" s="20"/>
      <c r="N519" s="20"/>
      <c r="O519" s="20"/>
      <c r="P519" s="20">
        <v>60000</v>
      </c>
      <c r="Q519" s="20"/>
      <c r="R519" s="20"/>
      <c r="S519" s="20"/>
      <c r="T519" s="20"/>
      <c r="U519" s="20"/>
      <c r="V519" s="20"/>
      <c r="W519" s="20">
        <f>640000-350000</f>
        <v>290000</v>
      </c>
      <c r="X519" s="20"/>
      <c r="Y519" s="118">
        <f t="shared" si="83"/>
        <v>0</v>
      </c>
      <c r="Z519" s="24">
        <v>60000</v>
      </c>
      <c r="AA519" s="118">
        <f t="shared" si="79"/>
        <v>0</v>
      </c>
      <c r="AB519" s="118"/>
      <c r="AC519" s="24"/>
      <c r="AD519" s="118">
        <f t="shared" si="81"/>
        <v>290000</v>
      </c>
    </row>
    <row r="520" spans="1:30" ht="21">
      <c r="A520" s="171"/>
      <c r="B520" s="171"/>
      <c r="C520" s="171"/>
      <c r="D520" s="172"/>
      <c r="E520" s="26" t="s">
        <v>315</v>
      </c>
      <c r="F520" s="132">
        <v>2355</v>
      </c>
      <c r="G520" s="25">
        <v>2020</v>
      </c>
      <c r="H520" s="24">
        <v>918000</v>
      </c>
      <c r="I520" s="50">
        <v>0</v>
      </c>
      <c r="J520" s="58">
        <v>3132</v>
      </c>
      <c r="K520" s="24">
        <f>918000+53238.81</f>
        <v>971238.81</v>
      </c>
      <c r="L520" s="35">
        <v>100</v>
      </c>
      <c r="M520" s="20"/>
      <c r="N520" s="20"/>
      <c r="O520" s="20"/>
      <c r="P520" s="20">
        <v>70000</v>
      </c>
      <c r="Q520" s="20">
        <f>21025.96-91025.96</f>
        <v>-70000</v>
      </c>
      <c r="R520" s="20">
        <f>971238.81</f>
        <v>971238.81</v>
      </c>
      <c r="S520" s="20"/>
      <c r="T520" s="20">
        <f>32212.85+11000-43212.85</f>
        <v>0</v>
      </c>
      <c r="U520" s="20">
        <f>72411-72411</f>
        <v>0</v>
      </c>
      <c r="V520" s="20"/>
      <c r="W520" s="20">
        <f>848000+7614.96-855614.96</f>
        <v>0</v>
      </c>
      <c r="X520" s="20"/>
      <c r="Y520" s="118">
        <f t="shared" si="83"/>
        <v>0</v>
      </c>
      <c r="Z520" s="24">
        <v>521110</v>
      </c>
      <c r="AA520" s="118">
        <f t="shared" si="79"/>
        <v>450128.81000000006</v>
      </c>
      <c r="AB520" s="118"/>
      <c r="AC520" s="24"/>
      <c r="AD520" s="118">
        <f t="shared" si="81"/>
        <v>450128.81000000006</v>
      </c>
    </row>
    <row r="521" spans="1:30" ht="21">
      <c r="A521" s="171"/>
      <c r="B521" s="171"/>
      <c r="C521" s="171"/>
      <c r="D521" s="172"/>
      <c r="E521" s="100" t="s">
        <v>296</v>
      </c>
      <c r="F521" s="96">
        <v>2356</v>
      </c>
      <c r="G521" s="25" t="s">
        <v>201</v>
      </c>
      <c r="H521" s="24">
        <v>1402829</v>
      </c>
      <c r="I521" s="50">
        <v>53.77547798056641</v>
      </c>
      <c r="J521" s="58">
        <v>3132</v>
      </c>
      <c r="K521" s="24">
        <v>700000</v>
      </c>
      <c r="L521" s="35">
        <v>100</v>
      </c>
      <c r="M521" s="20"/>
      <c r="N521" s="20">
        <v>641000</v>
      </c>
      <c r="O521" s="20"/>
      <c r="P521" s="20"/>
      <c r="Q521" s="20">
        <f>6500</f>
        <v>6500</v>
      </c>
      <c r="R521" s="20"/>
      <c r="S521" s="20"/>
      <c r="T521" s="20"/>
      <c r="U521" s="20"/>
      <c r="V521" s="20"/>
      <c r="W521" s="20"/>
      <c r="X521" s="20">
        <f>59000-6500</f>
        <v>52500</v>
      </c>
      <c r="Y521" s="118">
        <f t="shared" si="83"/>
        <v>0</v>
      </c>
      <c r="Z521" s="24">
        <f>631827.24+15625</f>
        <v>647452.24</v>
      </c>
      <c r="AA521" s="118">
        <f t="shared" si="79"/>
        <v>47.76000000000931</v>
      </c>
      <c r="AB521" s="118"/>
      <c r="AC521" s="24">
        <v>-52547.76</v>
      </c>
      <c r="AD521" s="118">
        <f t="shared" si="81"/>
        <v>7.275957614183426E-12</v>
      </c>
    </row>
    <row r="522" spans="1:30" ht="46.5">
      <c r="A522" s="171"/>
      <c r="B522" s="171"/>
      <c r="C522" s="171"/>
      <c r="D522" s="172"/>
      <c r="E522" s="26" t="s">
        <v>325</v>
      </c>
      <c r="F522" s="132">
        <v>2357</v>
      </c>
      <c r="G522" s="25" t="s">
        <v>201</v>
      </c>
      <c r="H522" s="24">
        <v>4275248</v>
      </c>
      <c r="I522" s="50">
        <f>(K522/H522*100-100)*-1</f>
        <v>19.484811173527234</v>
      </c>
      <c r="J522" s="58">
        <v>3132</v>
      </c>
      <c r="K522" s="24">
        <v>3442224</v>
      </c>
      <c r="L522" s="35">
        <v>100</v>
      </c>
      <c r="M522" s="20"/>
      <c r="N522" s="20"/>
      <c r="O522" s="20"/>
      <c r="P522" s="20"/>
      <c r="Q522" s="20"/>
      <c r="R522" s="20"/>
      <c r="S522" s="20"/>
      <c r="T522" s="20">
        <v>3442224</v>
      </c>
      <c r="U522" s="20"/>
      <c r="V522" s="20"/>
      <c r="W522" s="20"/>
      <c r="X522" s="20"/>
      <c r="Y522" s="118">
        <f t="shared" si="83"/>
        <v>0</v>
      </c>
      <c r="Z522" s="24"/>
      <c r="AA522" s="118">
        <f t="shared" si="79"/>
        <v>0</v>
      </c>
      <c r="AB522" s="118"/>
      <c r="AC522" s="24"/>
      <c r="AD522" s="118">
        <f t="shared" si="81"/>
        <v>3442224</v>
      </c>
    </row>
    <row r="523" spans="1:30" ht="21">
      <c r="A523" s="171"/>
      <c r="B523" s="171"/>
      <c r="C523" s="171"/>
      <c r="D523" s="172"/>
      <c r="E523" s="103" t="s">
        <v>291</v>
      </c>
      <c r="F523" s="96">
        <v>2358</v>
      </c>
      <c r="G523" s="25">
        <v>2020</v>
      </c>
      <c r="H523" s="24">
        <v>1000000</v>
      </c>
      <c r="I523" s="50">
        <v>0</v>
      </c>
      <c r="J523" s="58">
        <v>3132</v>
      </c>
      <c r="K523" s="24">
        <f>1000000-500000</f>
        <v>500000</v>
      </c>
      <c r="L523" s="35">
        <v>100</v>
      </c>
      <c r="M523" s="20"/>
      <c r="N523" s="20"/>
      <c r="O523" s="20"/>
      <c r="P523" s="20">
        <v>80000</v>
      </c>
      <c r="Q523" s="20">
        <f>-2000</f>
        <v>-2000</v>
      </c>
      <c r="R523" s="20"/>
      <c r="S523" s="20"/>
      <c r="T523" s="20"/>
      <c r="U523" s="20"/>
      <c r="V523" s="20">
        <f>920000-500000</f>
        <v>420000</v>
      </c>
      <c r="W523" s="20">
        <f>2000</f>
        <v>2000</v>
      </c>
      <c r="X523" s="20"/>
      <c r="Y523" s="118">
        <f t="shared" si="83"/>
        <v>0</v>
      </c>
      <c r="Z523" s="24">
        <v>78000</v>
      </c>
      <c r="AA523" s="118">
        <f t="shared" si="79"/>
        <v>0</v>
      </c>
      <c r="AB523" s="118"/>
      <c r="AC523" s="24"/>
      <c r="AD523" s="118">
        <f t="shared" si="81"/>
        <v>422000</v>
      </c>
    </row>
    <row r="524" spans="1:30" ht="46.5">
      <c r="A524" s="171"/>
      <c r="B524" s="171"/>
      <c r="C524" s="171"/>
      <c r="D524" s="172"/>
      <c r="E524" s="26" t="s">
        <v>326</v>
      </c>
      <c r="F524" s="132">
        <v>2359</v>
      </c>
      <c r="G524" s="25">
        <v>2020</v>
      </c>
      <c r="H524" s="24">
        <v>134745</v>
      </c>
      <c r="I524" s="50">
        <v>0</v>
      </c>
      <c r="J524" s="58">
        <v>3132</v>
      </c>
      <c r="K524" s="24">
        <v>134745</v>
      </c>
      <c r="L524" s="35">
        <v>100</v>
      </c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>
        <v>134745</v>
      </c>
      <c r="Y524" s="118">
        <f t="shared" si="83"/>
        <v>0</v>
      </c>
      <c r="Z524" s="24"/>
      <c r="AA524" s="118">
        <f t="shared" si="79"/>
        <v>0</v>
      </c>
      <c r="AB524" s="118"/>
      <c r="AC524" s="24"/>
      <c r="AD524" s="118">
        <f t="shared" si="81"/>
        <v>134745</v>
      </c>
    </row>
    <row r="525" spans="1:30" ht="30.75">
      <c r="A525" s="171"/>
      <c r="B525" s="171"/>
      <c r="C525" s="171"/>
      <c r="D525" s="172"/>
      <c r="E525" s="100" t="s">
        <v>336</v>
      </c>
      <c r="F525" s="132">
        <v>2361</v>
      </c>
      <c r="G525" s="25">
        <v>2020</v>
      </c>
      <c r="H525" s="24">
        <v>1300000</v>
      </c>
      <c r="I525" s="50">
        <v>0</v>
      </c>
      <c r="J525" s="58">
        <v>3132</v>
      </c>
      <c r="K525" s="24">
        <f>1300000-600000</f>
        <v>700000</v>
      </c>
      <c r="L525" s="35">
        <v>100</v>
      </c>
      <c r="M525" s="20"/>
      <c r="N525" s="20"/>
      <c r="O525" s="20"/>
      <c r="P525" s="20">
        <v>90000</v>
      </c>
      <c r="Q525" s="20">
        <f>-10000</f>
        <v>-10000</v>
      </c>
      <c r="R525" s="20"/>
      <c r="S525" s="20"/>
      <c r="T525" s="20"/>
      <c r="U525" s="20"/>
      <c r="V525" s="20">
        <f>1210000-600000</f>
        <v>610000</v>
      </c>
      <c r="W525" s="20">
        <f>10000</f>
        <v>10000</v>
      </c>
      <c r="X525" s="20"/>
      <c r="Y525" s="118">
        <f t="shared" si="83"/>
        <v>0</v>
      </c>
      <c r="Z525" s="24">
        <v>80000</v>
      </c>
      <c r="AA525" s="118">
        <f t="shared" si="79"/>
        <v>0</v>
      </c>
      <c r="AB525" s="118"/>
      <c r="AC525" s="24"/>
      <c r="AD525" s="118">
        <f t="shared" si="81"/>
        <v>620000</v>
      </c>
    </row>
    <row r="526" spans="1:30" ht="30.75">
      <c r="A526" s="171"/>
      <c r="B526" s="171"/>
      <c r="C526" s="171"/>
      <c r="D526" s="172"/>
      <c r="E526" s="26" t="s">
        <v>327</v>
      </c>
      <c r="F526" s="96">
        <v>2362</v>
      </c>
      <c r="G526" s="25">
        <v>2020</v>
      </c>
      <c r="H526" s="24">
        <v>356592.92</v>
      </c>
      <c r="I526" s="50">
        <v>0</v>
      </c>
      <c r="J526" s="58">
        <v>3132</v>
      </c>
      <c r="K526" s="24">
        <v>356592.92</v>
      </c>
      <c r="L526" s="35">
        <v>100</v>
      </c>
      <c r="M526" s="20"/>
      <c r="N526" s="20"/>
      <c r="O526" s="20">
        <v>356592.92</v>
      </c>
      <c r="P526" s="20"/>
      <c r="Q526" s="20">
        <f>-31986.37</f>
        <v>-31986.37</v>
      </c>
      <c r="R526" s="20"/>
      <c r="S526" s="20">
        <f>31986.37-31986.37</f>
        <v>0</v>
      </c>
      <c r="T526" s="20"/>
      <c r="U526" s="20"/>
      <c r="V526" s="20"/>
      <c r="W526" s="20">
        <f>31986.37</f>
        <v>31986.37</v>
      </c>
      <c r="X526" s="20"/>
      <c r="Y526" s="118">
        <f t="shared" si="83"/>
        <v>0</v>
      </c>
      <c r="Z526" s="24">
        <f>28000+296606.55</f>
        <v>324606.55</v>
      </c>
      <c r="AA526" s="118">
        <f t="shared" si="79"/>
        <v>0</v>
      </c>
      <c r="AB526" s="118"/>
      <c r="AC526" s="24"/>
      <c r="AD526" s="118">
        <f t="shared" si="81"/>
        <v>31986.369999999995</v>
      </c>
    </row>
    <row r="527" spans="1:30" ht="21">
      <c r="A527" s="171"/>
      <c r="B527" s="171"/>
      <c r="C527" s="171"/>
      <c r="D527" s="172"/>
      <c r="E527" s="26" t="s">
        <v>328</v>
      </c>
      <c r="F527" s="132">
        <v>2363</v>
      </c>
      <c r="G527" s="25" t="s">
        <v>329</v>
      </c>
      <c r="H527" s="24">
        <v>53587480</v>
      </c>
      <c r="I527" s="50">
        <f>(4756381+1647635)/H527*100</f>
        <v>11.950582486804754</v>
      </c>
      <c r="J527" s="58">
        <v>3132</v>
      </c>
      <c r="K527" s="24">
        <v>588015.05</v>
      </c>
      <c r="L527" s="57">
        <f>K527/H527</f>
        <v>0.010972993131977844</v>
      </c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>
        <v>588015.05</v>
      </c>
      <c r="X527" s="20"/>
      <c r="Y527" s="118">
        <f t="shared" si="83"/>
        <v>0</v>
      </c>
      <c r="Z527" s="24"/>
      <c r="AA527" s="118">
        <f t="shared" si="79"/>
        <v>0</v>
      </c>
      <c r="AB527" s="118"/>
      <c r="AC527" s="24"/>
      <c r="AD527" s="118">
        <f t="shared" si="81"/>
        <v>588015.05</v>
      </c>
    </row>
    <row r="528" spans="1:30" ht="30.75">
      <c r="A528" s="171"/>
      <c r="B528" s="171"/>
      <c r="C528" s="171"/>
      <c r="D528" s="172"/>
      <c r="E528" s="26" t="s">
        <v>318</v>
      </c>
      <c r="F528" s="96">
        <v>2364</v>
      </c>
      <c r="G528" s="25" t="s">
        <v>197</v>
      </c>
      <c r="H528" s="24">
        <v>15305439</v>
      </c>
      <c r="I528" s="50">
        <v>32.668125363800414</v>
      </c>
      <c r="J528" s="58">
        <v>3132</v>
      </c>
      <c r="K528" s="24">
        <v>4898912.05</v>
      </c>
      <c r="L528" s="35">
        <v>64</v>
      </c>
      <c r="M528" s="20"/>
      <c r="N528" s="20"/>
      <c r="O528" s="20"/>
      <c r="P528" s="20">
        <f>1073000</f>
        <v>1073000</v>
      </c>
      <c r="Q528" s="20"/>
      <c r="R528" s="20"/>
      <c r="S528" s="20">
        <v>3000000</v>
      </c>
      <c r="T528" s="20">
        <f>4898912.05-1073000-3000000</f>
        <v>825912.0499999998</v>
      </c>
      <c r="U528" s="20"/>
      <c r="V528" s="20"/>
      <c r="W528" s="20"/>
      <c r="X528" s="20"/>
      <c r="Y528" s="118">
        <f t="shared" si="83"/>
        <v>0</v>
      </c>
      <c r="Z528" s="24">
        <f>1072922.66+2824565.12</f>
        <v>3897487.7800000003</v>
      </c>
      <c r="AA528" s="118">
        <f t="shared" si="79"/>
        <v>175512.21999999974</v>
      </c>
      <c r="AB528" s="118"/>
      <c r="AC528" s="24"/>
      <c r="AD528" s="118">
        <f t="shared" si="81"/>
        <v>1001424.2699999996</v>
      </c>
    </row>
    <row r="529" spans="1:30" ht="30.75">
      <c r="A529" s="171"/>
      <c r="B529" s="171"/>
      <c r="C529" s="171"/>
      <c r="D529" s="172"/>
      <c r="E529" s="19" t="s">
        <v>293</v>
      </c>
      <c r="F529" s="132">
        <v>2365</v>
      </c>
      <c r="G529" s="25">
        <v>2020</v>
      </c>
      <c r="H529" s="24">
        <v>1500000</v>
      </c>
      <c r="I529" s="50">
        <v>0</v>
      </c>
      <c r="J529" s="58">
        <v>3132</v>
      </c>
      <c r="K529" s="20">
        <f>750000-670000</f>
        <v>80000</v>
      </c>
      <c r="L529" s="35">
        <v>100</v>
      </c>
      <c r="M529" s="20"/>
      <c r="N529" s="20"/>
      <c r="O529" s="20"/>
      <c r="P529" s="20">
        <f>60000+20000</f>
        <v>80000</v>
      </c>
      <c r="Q529" s="20"/>
      <c r="R529" s="20"/>
      <c r="S529" s="20"/>
      <c r="T529" s="20"/>
      <c r="U529" s="20"/>
      <c r="V529" s="20">
        <f>690000-20000-670000</f>
        <v>0</v>
      </c>
      <c r="W529" s="20"/>
      <c r="X529" s="20"/>
      <c r="Y529" s="118">
        <f t="shared" si="83"/>
        <v>0</v>
      </c>
      <c r="Z529" s="24">
        <f>80000</f>
        <v>80000</v>
      </c>
      <c r="AA529" s="118">
        <f t="shared" si="79"/>
        <v>0</v>
      </c>
      <c r="AB529" s="118"/>
      <c r="AC529" s="24"/>
      <c r="AD529" s="118">
        <f t="shared" si="81"/>
        <v>0</v>
      </c>
    </row>
    <row r="530" spans="1:30" ht="62.25">
      <c r="A530" s="171"/>
      <c r="B530" s="171"/>
      <c r="C530" s="171"/>
      <c r="D530" s="172"/>
      <c r="E530" s="26" t="s">
        <v>321</v>
      </c>
      <c r="F530" s="96">
        <v>2366</v>
      </c>
      <c r="G530" s="25">
        <v>2020</v>
      </c>
      <c r="H530" s="24">
        <v>3655000</v>
      </c>
      <c r="I530" s="50">
        <v>0</v>
      </c>
      <c r="J530" s="58">
        <v>3132</v>
      </c>
      <c r="K530" s="24">
        <f>3655000-2155000</f>
        <v>1500000</v>
      </c>
      <c r="L530" s="35">
        <v>100</v>
      </c>
      <c r="M530" s="20"/>
      <c r="N530" s="20"/>
      <c r="O530" s="20"/>
      <c r="P530" s="20"/>
      <c r="Q530" s="20"/>
      <c r="R530" s="20"/>
      <c r="S530" s="20"/>
      <c r="T530" s="20">
        <f>1855000-355000</f>
        <v>1500000</v>
      </c>
      <c r="U530" s="20"/>
      <c r="V530" s="20">
        <f>1800000-1800000</f>
        <v>0</v>
      </c>
      <c r="W530" s="20"/>
      <c r="X530" s="20"/>
      <c r="Y530" s="118">
        <f t="shared" si="83"/>
        <v>0</v>
      </c>
      <c r="Z530" s="24"/>
      <c r="AA530" s="118">
        <f t="shared" si="79"/>
        <v>0</v>
      </c>
      <c r="AB530" s="118"/>
      <c r="AC530" s="24"/>
      <c r="AD530" s="118">
        <f t="shared" si="81"/>
        <v>1500000</v>
      </c>
    </row>
    <row r="531" spans="1:30" ht="30.75">
      <c r="A531" s="171"/>
      <c r="B531" s="171"/>
      <c r="C531" s="171"/>
      <c r="D531" s="172"/>
      <c r="E531" s="19" t="s">
        <v>312</v>
      </c>
      <c r="F531" s="132">
        <v>2367</v>
      </c>
      <c r="G531" s="25" t="s">
        <v>201</v>
      </c>
      <c r="H531" s="24">
        <v>787840</v>
      </c>
      <c r="I531" s="50">
        <v>54.686230706742485</v>
      </c>
      <c r="J531" s="58">
        <v>3142</v>
      </c>
      <c r="K531" s="20">
        <f>272000+26246.8</f>
        <v>298246.8</v>
      </c>
      <c r="L531" s="35">
        <v>100</v>
      </c>
      <c r="M531" s="20"/>
      <c r="N531" s="20">
        <v>272000</v>
      </c>
      <c r="O531" s="20"/>
      <c r="P531" s="20">
        <v>-163000</v>
      </c>
      <c r="Q531" s="20">
        <f>26246.8+163000</f>
        <v>189246.8</v>
      </c>
      <c r="R531" s="20"/>
      <c r="S531" s="20">
        <f>163000-163000</f>
        <v>0</v>
      </c>
      <c r="T531" s="20"/>
      <c r="U531" s="20"/>
      <c r="V531" s="20"/>
      <c r="W531" s="20"/>
      <c r="X531" s="20"/>
      <c r="Y531" s="118">
        <f t="shared" si="83"/>
        <v>0</v>
      </c>
      <c r="Z531" s="24">
        <v>271999.2</v>
      </c>
      <c r="AA531" s="118">
        <f aca="true" t="shared" si="84" ref="AA531:AA594">M531+N531+O531+P531+Q531+R531+S531-Z531</f>
        <v>26247.599999999977</v>
      </c>
      <c r="AB531" s="118"/>
      <c r="AC531" s="24"/>
      <c r="AD531" s="118">
        <f t="shared" si="81"/>
        <v>26247.599999999977</v>
      </c>
    </row>
    <row r="532" spans="1:30" ht="30.75">
      <c r="A532" s="171"/>
      <c r="B532" s="171"/>
      <c r="C532" s="171"/>
      <c r="D532" s="172"/>
      <c r="E532" s="19" t="s">
        <v>311</v>
      </c>
      <c r="F532" s="96">
        <v>2368</v>
      </c>
      <c r="G532" s="25">
        <v>2020</v>
      </c>
      <c r="H532" s="24">
        <v>477000</v>
      </c>
      <c r="I532" s="50">
        <v>0</v>
      </c>
      <c r="J532" s="58">
        <v>3142</v>
      </c>
      <c r="K532" s="20">
        <f>477000+100962.8-177000</f>
        <v>400962.80000000005</v>
      </c>
      <c r="L532" s="35">
        <v>100</v>
      </c>
      <c r="M532" s="20"/>
      <c r="N532" s="20"/>
      <c r="O532" s="20"/>
      <c r="P532" s="20"/>
      <c r="Q532" s="20">
        <f>477000+100962.8-177000-400000</f>
        <v>962.8000000000466</v>
      </c>
      <c r="R532" s="20"/>
      <c r="S532" s="20"/>
      <c r="T532" s="20">
        <f>400000</f>
        <v>400000</v>
      </c>
      <c r="U532" s="20"/>
      <c r="V532" s="20"/>
      <c r="W532" s="20"/>
      <c r="X532" s="20"/>
      <c r="Y532" s="118">
        <f t="shared" si="83"/>
        <v>0</v>
      </c>
      <c r="Z532" s="24"/>
      <c r="AA532" s="118">
        <f t="shared" si="84"/>
        <v>962.8000000000466</v>
      </c>
      <c r="AB532" s="118"/>
      <c r="AC532" s="24"/>
      <c r="AD532" s="118">
        <f t="shared" si="81"/>
        <v>400962.80000000005</v>
      </c>
    </row>
    <row r="533" spans="1:30" ht="30.75">
      <c r="A533" s="171"/>
      <c r="B533" s="171"/>
      <c r="C533" s="171"/>
      <c r="D533" s="172"/>
      <c r="E533" s="26" t="s">
        <v>330</v>
      </c>
      <c r="F533" s="132">
        <v>2369</v>
      </c>
      <c r="G533" s="25" t="s">
        <v>201</v>
      </c>
      <c r="H533" s="24">
        <v>640000</v>
      </c>
      <c r="I533" s="50">
        <v>0</v>
      </c>
      <c r="J533" s="58">
        <v>3142</v>
      </c>
      <c r="K533" s="24">
        <v>640000</v>
      </c>
      <c r="L533" s="35">
        <v>100</v>
      </c>
      <c r="M533" s="20"/>
      <c r="N533" s="20">
        <v>526000</v>
      </c>
      <c r="O533" s="20"/>
      <c r="P533" s="20"/>
      <c r="Q533" s="20"/>
      <c r="R533" s="20"/>
      <c r="S533" s="20"/>
      <c r="T533" s="20"/>
      <c r="U533" s="20"/>
      <c r="V533" s="20"/>
      <c r="W533" s="20"/>
      <c r="X533" s="20">
        <v>114000</v>
      </c>
      <c r="Y533" s="118">
        <f t="shared" si="83"/>
        <v>0</v>
      </c>
      <c r="Z533" s="24">
        <f>525585</f>
        <v>525585</v>
      </c>
      <c r="AA533" s="118">
        <f t="shared" si="84"/>
        <v>415</v>
      </c>
      <c r="AB533" s="118"/>
      <c r="AC533" s="24">
        <v>-105319</v>
      </c>
      <c r="AD533" s="118">
        <f t="shared" si="81"/>
        <v>9096</v>
      </c>
    </row>
    <row r="534" spans="1:30" ht="21">
      <c r="A534" s="171"/>
      <c r="B534" s="171"/>
      <c r="C534" s="171"/>
      <c r="D534" s="172"/>
      <c r="E534" s="26" t="s">
        <v>317</v>
      </c>
      <c r="F534" s="96">
        <v>2370</v>
      </c>
      <c r="G534" s="25" t="s">
        <v>197</v>
      </c>
      <c r="H534" s="24">
        <v>1754667</v>
      </c>
      <c r="I534" s="50">
        <f>(K534/H534*100-100)*-1</f>
        <v>96.80658324343024</v>
      </c>
      <c r="J534" s="58">
        <v>3142</v>
      </c>
      <c r="K534" s="24">
        <v>56033.83</v>
      </c>
      <c r="L534" s="35">
        <v>100</v>
      </c>
      <c r="M534" s="20"/>
      <c r="N534" s="20">
        <v>56033.83</v>
      </c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118">
        <f t="shared" si="83"/>
        <v>0</v>
      </c>
      <c r="Z534" s="24">
        <f>54212.15</f>
        <v>54212.15</v>
      </c>
      <c r="AA534" s="118">
        <f t="shared" si="84"/>
        <v>1821.6800000000003</v>
      </c>
      <c r="AB534" s="118"/>
      <c r="AC534" s="24">
        <v>-1821.68</v>
      </c>
      <c r="AD534" s="118">
        <f t="shared" si="81"/>
        <v>2.2737367544323206E-13</v>
      </c>
    </row>
    <row r="535" spans="1:30" ht="30.75">
      <c r="A535" s="171"/>
      <c r="B535" s="171"/>
      <c r="C535" s="171"/>
      <c r="D535" s="172"/>
      <c r="E535" s="26" t="s">
        <v>331</v>
      </c>
      <c r="F535" s="132">
        <v>2371</v>
      </c>
      <c r="G535" s="25" t="s">
        <v>197</v>
      </c>
      <c r="H535" s="24">
        <v>3119378</v>
      </c>
      <c r="I535" s="50">
        <v>56.98866889488866</v>
      </c>
      <c r="J535" s="58">
        <v>3142</v>
      </c>
      <c r="K535" s="24">
        <v>341685.56</v>
      </c>
      <c r="L535" s="35">
        <v>100</v>
      </c>
      <c r="M535" s="20"/>
      <c r="N535" s="20"/>
      <c r="O535" s="20"/>
      <c r="P535" s="20">
        <v>50000</v>
      </c>
      <c r="Q535" s="20"/>
      <c r="R535" s="20"/>
      <c r="S535" s="20"/>
      <c r="T535" s="20"/>
      <c r="U535" s="20"/>
      <c r="V535" s="20">
        <v>291685.56</v>
      </c>
      <c r="W535" s="20"/>
      <c r="X535" s="20"/>
      <c r="Y535" s="118">
        <f t="shared" si="83"/>
        <v>0</v>
      </c>
      <c r="Z535" s="24"/>
      <c r="AA535" s="118">
        <f t="shared" si="84"/>
        <v>50000</v>
      </c>
      <c r="AB535" s="118"/>
      <c r="AC535" s="24"/>
      <c r="AD535" s="118">
        <f t="shared" si="81"/>
        <v>341685.56</v>
      </c>
    </row>
    <row r="536" spans="1:30" ht="30.75">
      <c r="A536" s="171"/>
      <c r="B536" s="171"/>
      <c r="C536" s="171"/>
      <c r="D536" s="172"/>
      <c r="E536" s="19" t="s">
        <v>722</v>
      </c>
      <c r="F536" s="96">
        <v>2372</v>
      </c>
      <c r="G536" s="25" t="s">
        <v>201</v>
      </c>
      <c r="H536" s="24">
        <v>1507940</v>
      </c>
      <c r="I536" s="50">
        <v>0</v>
      </c>
      <c r="J536" s="58">
        <v>3142</v>
      </c>
      <c r="K536" s="20">
        <f>1500000+3600000</f>
        <v>5100000</v>
      </c>
      <c r="L536" s="35">
        <v>100</v>
      </c>
      <c r="M536" s="20"/>
      <c r="N536" s="20">
        <v>10000</v>
      </c>
      <c r="O536" s="20"/>
      <c r="P536" s="20">
        <v>163000</v>
      </c>
      <c r="Q536" s="20"/>
      <c r="R536" s="20"/>
      <c r="S536" s="20">
        <f>845895-163000+1432000</f>
        <v>2114895</v>
      </c>
      <c r="T536" s="20"/>
      <c r="U536" s="20"/>
      <c r="V536" s="20">
        <f>2754105</f>
        <v>2754105</v>
      </c>
      <c r="W536" s="20">
        <f>1490000-1432000</f>
        <v>58000</v>
      </c>
      <c r="X536" s="20"/>
      <c r="Y536" s="118">
        <f t="shared" si="83"/>
        <v>0</v>
      </c>
      <c r="Z536" s="24">
        <f>67940+2114258</f>
        <v>2182198</v>
      </c>
      <c r="AA536" s="118">
        <f t="shared" si="84"/>
        <v>105697</v>
      </c>
      <c r="AB536" s="118"/>
      <c r="AC536" s="24">
        <v>-499460</v>
      </c>
      <c r="AD536" s="118">
        <f t="shared" si="81"/>
        <v>2418342</v>
      </c>
    </row>
    <row r="537" spans="1:30" ht="21" hidden="1">
      <c r="A537" s="171"/>
      <c r="B537" s="171"/>
      <c r="C537" s="171"/>
      <c r="D537" s="172"/>
      <c r="E537" s="100" t="s">
        <v>333</v>
      </c>
      <c r="F537" s="132">
        <v>2373</v>
      </c>
      <c r="G537" s="25">
        <v>2020</v>
      </c>
      <c r="H537" s="24">
        <f>204105+10150000</f>
        <v>10354105</v>
      </c>
      <c r="I537" s="50">
        <v>0</v>
      </c>
      <c r="J537" s="58"/>
      <c r="K537" s="24">
        <f>10354105-5000000-5354105</f>
        <v>0</v>
      </c>
      <c r="L537" s="35">
        <v>100</v>
      </c>
      <c r="M537" s="20"/>
      <c r="N537" s="20"/>
      <c r="O537" s="20"/>
      <c r="P537" s="20">
        <f>100000-100000</f>
        <v>0</v>
      </c>
      <c r="Q537" s="20"/>
      <c r="R537" s="20"/>
      <c r="S537" s="20">
        <f>2500000-2500000</f>
        <v>0</v>
      </c>
      <c r="T537" s="20"/>
      <c r="U537" s="20"/>
      <c r="V537" s="20">
        <f>2754105-2754105</f>
        <v>0</v>
      </c>
      <c r="W537" s="20"/>
      <c r="X537" s="20"/>
      <c r="Y537" s="118">
        <f t="shared" si="83"/>
        <v>0</v>
      </c>
      <c r="Z537" s="24"/>
      <c r="AA537" s="118">
        <f t="shared" si="84"/>
        <v>0</v>
      </c>
      <c r="AB537" s="118"/>
      <c r="AC537" s="24"/>
      <c r="AD537" s="118">
        <f t="shared" si="81"/>
        <v>0</v>
      </c>
    </row>
    <row r="538" spans="1:30" ht="15" customHeight="1">
      <c r="A538" s="168" t="s">
        <v>118</v>
      </c>
      <c r="B538" s="168" t="s">
        <v>79</v>
      </c>
      <c r="C538" s="168" t="s">
        <v>76</v>
      </c>
      <c r="D538" s="165" t="s">
        <v>80</v>
      </c>
      <c r="E538" s="112"/>
      <c r="F538" s="98"/>
      <c r="G538" s="20"/>
      <c r="H538" s="21"/>
      <c r="I538" s="50"/>
      <c r="J538" s="58"/>
      <c r="K538" s="23">
        <f>K543+K545+K549+K551+K587+K597+K653</f>
        <v>68804240.19</v>
      </c>
      <c r="L538" s="23">
        <f aca="true" t="shared" si="85" ref="L538:X538">L543+L545+L549+L551+L587+L597+L653</f>
        <v>9416.3</v>
      </c>
      <c r="M538" s="23">
        <f t="shared" si="85"/>
        <v>0</v>
      </c>
      <c r="N538" s="23">
        <f t="shared" si="85"/>
        <v>11270067.57</v>
      </c>
      <c r="O538" s="23">
        <f t="shared" si="85"/>
        <v>5235020</v>
      </c>
      <c r="P538" s="23">
        <f t="shared" si="85"/>
        <v>7648909.91</v>
      </c>
      <c r="Q538" s="23">
        <f t="shared" si="85"/>
        <v>616146</v>
      </c>
      <c r="R538" s="23">
        <f t="shared" si="85"/>
        <v>2608315.11</v>
      </c>
      <c r="S538" s="23">
        <f t="shared" si="85"/>
        <v>7875949.58</v>
      </c>
      <c r="T538" s="23">
        <f t="shared" si="85"/>
        <v>6024814.76</v>
      </c>
      <c r="U538" s="23">
        <f t="shared" si="85"/>
        <v>1653046</v>
      </c>
      <c r="V538" s="23">
        <f t="shared" si="85"/>
        <v>7681942.829999999</v>
      </c>
      <c r="W538" s="23">
        <f t="shared" si="85"/>
        <v>12925449.03</v>
      </c>
      <c r="X538" s="23">
        <f t="shared" si="85"/>
        <v>5264579.4</v>
      </c>
      <c r="Y538" s="118">
        <f t="shared" si="83"/>
        <v>0</v>
      </c>
      <c r="Z538" s="23">
        <f>Z543+Z545+Z549+Z551+Z587+Z597+Z653</f>
        <v>34122916.39</v>
      </c>
      <c r="AA538" s="118">
        <f t="shared" si="84"/>
        <v>1131491.7800000012</v>
      </c>
      <c r="AB538" s="118"/>
      <c r="AC538" s="24"/>
      <c r="AD538" s="118">
        <f t="shared" si="81"/>
        <v>34681323.8</v>
      </c>
    </row>
    <row r="539" spans="1:30" ht="30.75" customHeight="1" hidden="1">
      <c r="A539" s="169"/>
      <c r="B539" s="169"/>
      <c r="C539" s="169"/>
      <c r="D539" s="166"/>
      <c r="E539" s="47" t="s">
        <v>119</v>
      </c>
      <c r="F539" s="135"/>
      <c r="G539" s="20"/>
      <c r="H539" s="21"/>
      <c r="I539" s="50"/>
      <c r="J539" s="58"/>
      <c r="K539" s="23">
        <f>SUM(K540:K540)</f>
        <v>0</v>
      </c>
      <c r="L539" s="23">
        <f aca="true" t="shared" si="86" ref="L539:Z539">SUM(L540:L540)</f>
        <v>0</v>
      </c>
      <c r="M539" s="23">
        <f t="shared" si="86"/>
        <v>0</v>
      </c>
      <c r="N539" s="23">
        <f t="shared" si="86"/>
        <v>0</v>
      </c>
      <c r="O539" s="23">
        <f t="shared" si="86"/>
        <v>0</v>
      </c>
      <c r="P539" s="23">
        <f t="shared" si="86"/>
        <v>0</v>
      </c>
      <c r="Q539" s="23">
        <f t="shared" si="86"/>
        <v>0</v>
      </c>
      <c r="R539" s="23">
        <f t="shared" si="86"/>
        <v>0</v>
      </c>
      <c r="S539" s="23">
        <f t="shared" si="86"/>
        <v>0</v>
      </c>
      <c r="T539" s="23">
        <f t="shared" si="86"/>
        <v>0</v>
      </c>
      <c r="U539" s="23">
        <f t="shared" si="86"/>
        <v>0</v>
      </c>
      <c r="V539" s="23">
        <f t="shared" si="86"/>
        <v>0</v>
      </c>
      <c r="W539" s="23">
        <f t="shared" si="86"/>
        <v>0</v>
      </c>
      <c r="X539" s="23">
        <f t="shared" si="86"/>
        <v>0</v>
      </c>
      <c r="Y539" s="118">
        <f t="shared" si="83"/>
        <v>0</v>
      </c>
      <c r="Z539" s="23">
        <f t="shared" si="86"/>
        <v>0</v>
      </c>
      <c r="AA539" s="118">
        <f t="shared" si="84"/>
        <v>0</v>
      </c>
      <c r="AB539" s="118"/>
      <c r="AC539" s="24"/>
      <c r="AD539" s="118">
        <f t="shared" si="81"/>
        <v>0</v>
      </c>
    </row>
    <row r="540" spans="1:30" ht="15" customHeight="1" hidden="1">
      <c r="A540" s="169"/>
      <c r="B540" s="169"/>
      <c r="C540" s="169"/>
      <c r="D540" s="166"/>
      <c r="E540" s="26"/>
      <c r="F540" s="97"/>
      <c r="G540" s="112"/>
      <c r="H540" s="112"/>
      <c r="I540" s="50"/>
      <c r="J540" s="58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118">
        <f t="shared" si="83"/>
        <v>0</v>
      </c>
      <c r="Z540" s="24"/>
      <c r="AA540" s="118">
        <f t="shared" si="84"/>
        <v>0</v>
      </c>
      <c r="AB540" s="118"/>
      <c r="AC540" s="24"/>
      <c r="AD540" s="118">
        <f t="shared" si="81"/>
        <v>0</v>
      </c>
    </row>
    <row r="541" spans="1:30" ht="30.75" customHeight="1" hidden="1">
      <c r="A541" s="169"/>
      <c r="B541" s="169"/>
      <c r="C541" s="169"/>
      <c r="D541" s="166"/>
      <c r="E541" s="47" t="s">
        <v>119</v>
      </c>
      <c r="F541" s="135"/>
      <c r="G541" s="20"/>
      <c r="H541" s="21"/>
      <c r="I541" s="50"/>
      <c r="J541" s="58"/>
      <c r="K541" s="23">
        <f>SUM(K542:K542)</f>
        <v>0</v>
      </c>
      <c r="L541" s="23">
        <f aca="true" t="shared" si="87" ref="L541:Z541">SUM(L542:L542)</f>
        <v>0</v>
      </c>
      <c r="M541" s="23">
        <f t="shared" si="87"/>
        <v>0</v>
      </c>
      <c r="N541" s="23">
        <f t="shared" si="87"/>
        <v>0</v>
      </c>
      <c r="O541" s="23">
        <f t="shared" si="87"/>
        <v>0</v>
      </c>
      <c r="P541" s="23">
        <f t="shared" si="87"/>
        <v>0</v>
      </c>
      <c r="Q541" s="23">
        <f t="shared" si="87"/>
        <v>0</v>
      </c>
      <c r="R541" s="23">
        <f t="shared" si="87"/>
        <v>0</v>
      </c>
      <c r="S541" s="23">
        <f t="shared" si="87"/>
        <v>0</v>
      </c>
      <c r="T541" s="23">
        <f t="shared" si="87"/>
        <v>0</v>
      </c>
      <c r="U541" s="23">
        <f t="shared" si="87"/>
        <v>0</v>
      </c>
      <c r="V541" s="23">
        <f t="shared" si="87"/>
        <v>0</v>
      </c>
      <c r="W541" s="23">
        <f t="shared" si="87"/>
        <v>0</v>
      </c>
      <c r="X541" s="23">
        <f t="shared" si="87"/>
        <v>0</v>
      </c>
      <c r="Y541" s="118">
        <f t="shared" si="83"/>
        <v>0</v>
      </c>
      <c r="Z541" s="23">
        <f t="shared" si="87"/>
        <v>0</v>
      </c>
      <c r="AA541" s="118">
        <f t="shared" si="84"/>
        <v>0</v>
      </c>
      <c r="AB541" s="118"/>
      <c r="AC541" s="24"/>
      <c r="AD541" s="118">
        <f t="shared" si="81"/>
        <v>0</v>
      </c>
    </row>
    <row r="542" spans="1:30" ht="15" customHeight="1" hidden="1">
      <c r="A542" s="169"/>
      <c r="B542" s="169"/>
      <c r="C542" s="169"/>
      <c r="D542" s="166"/>
      <c r="E542" s="26"/>
      <c r="F542" s="97"/>
      <c r="G542" s="112"/>
      <c r="H542" s="112"/>
      <c r="I542" s="50"/>
      <c r="J542" s="58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118">
        <f t="shared" si="83"/>
        <v>0</v>
      </c>
      <c r="Z542" s="24"/>
      <c r="AA542" s="118">
        <f t="shared" si="84"/>
        <v>0</v>
      </c>
      <c r="AB542" s="118"/>
      <c r="AC542" s="24"/>
      <c r="AD542" s="118">
        <f aca="true" t="shared" si="88" ref="AD542:AD607">K542-Z542+AC542-AB542</f>
        <v>0</v>
      </c>
    </row>
    <row r="543" spans="1:30" ht="30.75" hidden="1">
      <c r="A543" s="169"/>
      <c r="B543" s="169"/>
      <c r="C543" s="169"/>
      <c r="D543" s="166"/>
      <c r="E543" s="40" t="s">
        <v>121</v>
      </c>
      <c r="F543" s="98"/>
      <c r="G543" s="20"/>
      <c r="H543" s="21"/>
      <c r="I543" s="50"/>
      <c r="J543" s="58"/>
      <c r="K543" s="23">
        <f>SUM(K544:K544)</f>
        <v>0</v>
      </c>
      <c r="L543" s="23">
        <f aca="true" t="shared" si="89" ref="L543:Z543">SUM(L544:L544)</f>
        <v>0</v>
      </c>
      <c r="M543" s="23">
        <f t="shared" si="89"/>
        <v>0</v>
      </c>
      <c r="N543" s="23">
        <f t="shared" si="89"/>
        <v>0</v>
      </c>
      <c r="O543" s="23">
        <f t="shared" si="89"/>
        <v>0</v>
      </c>
      <c r="P543" s="23">
        <f t="shared" si="89"/>
        <v>0</v>
      </c>
      <c r="Q543" s="23">
        <f t="shared" si="89"/>
        <v>0</v>
      </c>
      <c r="R543" s="23">
        <f t="shared" si="89"/>
        <v>0</v>
      </c>
      <c r="S543" s="23">
        <f t="shared" si="89"/>
        <v>0</v>
      </c>
      <c r="T543" s="23">
        <f t="shared" si="89"/>
        <v>0</v>
      </c>
      <c r="U543" s="23">
        <f t="shared" si="89"/>
        <v>0</v>
      </c>
      <c r="V543" s="23">
        <f t="shared" si="89"/>
        <v>0</v>
      </c>
      <c r="W543" s="23">
        <f t="shared" si="89"/>
        <v>0</v>
      </c>
      <c r="X543" s="23">
        <f t="shared" si="89"/>
        <v>0</v>
      </c>
      <c r="Y543" s="118">
        <f t="shared" si="83"/>
        <v>0</v>
      </c>
      <c r="Z543" s="23">
        <f t="shared" si="89"/>
        <v>0</v>
      </c>
      <c r="AA543" s="118">
        <f t="shared" si="84"/>
        <v>0</v>
      </c>
      <c r="AB543" s="118"/>
      <c r="AC543" s="24"/>
      <c r="AD543" s="118">
        <f t="shared" si="88"/>
        <v>0</v>
      </c>
    </row>
    <row r="544" spans="1:30" ht="21" hidden="1">
      <c r="A544" s="169"/>
      <c r="B544" s="169"/>
      <c r="C544" s="169"/>
      <c r="D544" s="166"/>
      <c r="E544" s="26" t="s">
        <v>337</v>
      </c>
      <c r="F544" s="97">
        <v>2374</v>
      </c>
      <c r="G544" s="25"/>
      <c r="H544" s="24"/>
      <c r="I544" s="50"/>
      <c r="J544" s="58"/>
      <c r="K544" s="24">
        <f>5000000-5000000</f>
        <v>0</v>
      </c>
      <c r="L544" s="35"/>
      <c r="M544" s="20"/>
      <c r="N544" s="20"/>
      <c r="O544" s="20"/>
      <c r="P544" s="20"/>
      <c r="Q544" s="20"/>
      <c r="R544" s="20"/>
      <c r="S544" s="20"/>
      <c r="T544" s="20"/>
      <c r="U544" s="20"/>
      <c r="V544" s="20">
        <f>5000000-5000000</f>
        <v>0</v>
      </c>
      <c r="W544" s="20"/>
      <c r="X544" s="20"/>
      <c r="Y544" s="118">
        <f t="shared" si="83"/>
        <v>0</v>
      </c>
      <c r="Z544" s="20"/>
      <c r="AA544" s="118">
        <f t="shared" si="84"/>
        <v>0</v>
      </c>
      <c r="AB544" s="118"/>
      <c r="AC544" s="24"/>
      <c r="AD544" s="118">
        <f t="shared" si="88"/>
        <v>0</v>
      </c>
    </row>
    <row r="545" spans="1:30" ht="20.25">
      <c r="A545" s="169"/>
      <c r="B545" s="169"/>
      <c r="C545" s="169"/>
      <c r="D545" s="166"/>
      <c r="E545" s="47" t="s">
        <v>120</v>
      </c>
      <c r="F545" s="135"/>
      <c r="G545" s="25"/>
      <c r="H545" s="24"/>
      <c r="I545" s="50"/>
      <c r="J545" s="58"/>
      <c r="K545" s="23">
        <f>SUM(K546:K548)</f>
        <v>200000</v>
      </c>
      <c r="L545" s="23">
        <f aca="true" t="shared" si="90" ref="L545:X545">SUM(L546:L548)</f>
        <v>200</v>
      </c>
      <c r="M545" s="23">
        <f t="shared" si="90"/>
        <v>0</v>
      </c>
      <c r="N545" s="23">
        <f t="shared" si="90"/>
        <v>0</v>
      </c>
      <c r="O545" s="23">
        <f t="shared" si="90"/>
        <v>0</v>
      </c>
      <c r="P545" s="23">
        <f t="shared" si="90"/>
        <v>0</v>
      </c>
      <c r="Q545" s="23">
        <f t="shared" si="90"/>
        <v>0</v>
      </c>
      <c r="R545" s="23">
        <f t="shared" si="90"/>
        <v>0</v>
      </c>
      <c r="S545" s="23">
        <f t="shared" si="90"/>
        <v>200000</v>
      </c>
      <c r="T545" s="23">
        <f t="shared" si="90"/>
        <v>0</v>
      </c>
      <c r="U545" s="23">
        <f t="shared" si="90"/>
        <v>0</v>
      </c>
      <c r="V545" s="23">
        <f t="shared" si="90"/>
        <v>0</v>
      </c>
      <c r="W545" s="23">
        <f t="shared" si="90"/>
        <v>0</v>
      </c>
      <c r="X545" s="23">
        <f t="shared" si="90"/>
        <v>0</v>
      </c>
      <c r="Y545" s="118">
        <f t="shared" si="83"/>
        <v>0</v>
      </c>
      <c r="Z545" s="23">
        <f>SUM(Z546:Z548)</f>
        <v>0</v>
      </c>
      <c r="AA545" s="118">
        <f t="shared" si="84"/>
        <v>200000</v>
      </c>
      <c r="AB545" s="118"/>
      <c r="AC545" s="24"/>
      <c r="AD545" s="118">
        <f t="shared" si="88"/>
        <v>200000</v>
      </c>
    </row>
    <row r="546" spans="1:30" ht="21" hidden="1">
      <c r="A546" s="169"/>
      <c r="B546" s="169"/>
      <c r="C546" s="169"/>
      <c r="D546" s="166"/>
      <c r="E546" s="26" t="s">
        <v>413</v>
      </c>
      <c r="F546" s="97">
        <v>2375</v>
      </c>
      <c r="G546" s="25">
        <v>2020</v>
      </c>
      <c r="H546" s="24">
        <v>2000000</v>
      </c>
      <c r="I546" s="50">
        <v>0</v>
      </c>
      <c r="J546" s="58"/>
      <c r="K546" s="24">
        <f>2000000-2000000</f>
        <v>0</v>
      </c>
      <c r="L546" s="35">
        <v>100</v>
      </c>
      <c r="M546" s="20"/>
      <c r="N546" s="20"/>
      <c r="O546" s="20"/>
      <c r="P546" s="20"/>
      <c r="Q546" s="20"/>
      <c r="R546" s="20"/>
      <c r="S546" s="20"/>
      <c r="T546" s="20">
        <f>2000000-2000000</f>
        <v>0</v>
      </c>
      <c r="U546" s="20"/>
      <c r="V546" s="20"/>
      <c r="W546" s="20"/>
      <c r="X546" s="20"/>
      <c r="Y546" s="118">
        <f t="shared" si="83"/>
        <v>0</v>
      </c>
      <c r="Z546" s="24"/>
      <c r="AA546" s="118">
        <f t="shared" si="84"/>
        <v>0</v>
      </c>
      <c r="AB546" s="118"/>
      <c r="AC546" s="24"/>
      <c r="AD546" s="118">
        <f t="shared" si="88"/>
        <v>0</v>
      </c>
    </row>
    <row r="547" spans="1:30" ht="30.75">
      <c r="A547" s="169"/>
      <c r="B547" s="169"/>
      <c r="C547" s="169"/>
      <c r="D547" s="166"/>
      <c r="E547" s="26" t="s">
        <v>890</v>
      </c>
      <c r="F547" s="97">
        <v>2616</v>
      </c>
      <c r="G547" s="25"/>
      <c r="H547" s="24"/>
      <c r="I547" s="50"/>
      <c r="J547" s="58">
        <v>3210</v>
      </c>
      <c r="K547" s="24">
        <v>200000</v>
      </c>
      <c r="L547" s="35"/>
      <c r="M547" s="20"/>
      <c r="N547" s="20"/>
      <c r="O547" s="20"/>
      <c r="P547" s="20"/>
      <c r="Q547" s="20"/>
      <c r="R547" s="20"/>
      <c r="S547" s="20">
        <f>200000</f>
        <v>200000</v>
      </c>
      <c r="T547" s="20"/>
      <c r="U547" s="20"/>
      <c r="V547" s="20"/>
      <c r="W547" s="20"/>
      <c r="X547" s="20"/>
      <c r="Y547" s="118">
        <f>K547-M547-N547-O547-P547-Q547-R547-S547-T547-U547-V547-W547-X547</f>
        <v>0</v>
      </c>
      <c r="Z547" s="24"/>
      <c r="AA547" s="118">
        <f t="shared" si="84"/>
        <v>200000</v>
      </c>
      <c r="AB547" s="118"/>
      <c r="AC547" s="24"/>
      <c r="AD547" s="118">
        <f t="shared" si="88"/>
        <v>200000</v>
      </c>
    </row>
    <row r="548" spans="1:30" ht="30.75" hidden="1">
      <c r="A548" s="169"/>
      <c r="B548" s="169"/>
      <c r="C548" s="169"/>
      <c r="D548" s="166"/>
      <c r="E548" s="26" t="s">
        <v>414</v>
      </c>
      <c r="F548" s="97">
        <v>2376</v>
      </c>
      <c r="G548" s="25">
        <v>2020</v>
      </c>
      <c r="H548" s="24">
        <v>1000000</v>
      </c>
      <c r="I548" s="50">
        <v>0</v>
      </c>
      <c r="J548" s="58"/>
      <c r="K548" s="24">
        <f>1000000-1000000</f>
        <v>0</v>
      </c>
      <c r="L548" s="35">
        <v>100</v>
      </c>
      <c r="M548" s="20"/>
      <c r="N548" s="20"/>
      <c r="O548" s="20"/>
      <c r="P548" s="20"/>
      <c r="Q548" s="20"/>
      <c r="R548" s="20"/>
      <c r="S548" s="20"/>
      <c r="T548" s="20">
        <f>1000000-1000000</f>
        <v>0</v>
      </c>
      <c r="U548" s="20"/>
      <c r="V548" s="20"/>
      <c r="W548" s="20"/>
      <c r="X548" s="20"/>
      <c r="Y548" s="118">
        <f t="shared" si="83"/>
        <v>0</v>
      </c>
      <c r="Z548" s="24"/>
      <c r="AA548" s="118">
        <f t="shared" si="84"/>
        <v>0</v>
      </c>
      <c r="AB548" s="118"/>
      <c r="AC548" s="24"/>
      <c r="AD548" s="118">
        <f t="shared" si="88"/>
        <v>0</v>
      </c>
    </row>
    <row r="549" spans="1:30" ht="30.75">
      <c r="A549" s="169"/>
      <c r="B549" s="169"/>
      <c r="C549" s="169"/>
      <c r="D549" s="166"/>
      <c r="E549" s="47" t="s">
        <v>122</v>
      </c>
      <c r="F549" s="135"/>
      <c r="G549" s="20"/>
      <c r="H549" s="21"/>
      <c r="I549" s="50"/>
      <c r="J549" s="58"/>
      <c r="K549" s="23">
        <f>K550</f>
        <v>3741000</v>
      </c>
      <c r="L549" s="23">
        <f aca="true" t="shared" si="91" ref="L549:Z549">L550</f>
        <v>0</v>
      </c>
      <c r="M549" s="23">
        <f t="shared" si="91"/>
        <v>0</v>
      </c>
      <c r="N549" s="23">
        <f t="shared" si="91"/>
        <v>0</v>
      </c>
      <c r="O549" s="23">
        <f t="shared" si="91"/>
        <v>0</v>
      </c>
      <c r="P549" s="23">
        <f t="shared" si="91"/>
        <v>1400000</v>
      </c>
      <c r="Q549" s="23">
        <f t="shared" si="91"/>
        <v>341000</v>
      </c>
      <c r="R549" s="23">
        <f t="shared" si="91"/>
        <v>-343000</v>
      </c>
      <c r="S549" s="23">
        <f t="shared" si="91"/>
        <v>2343000</v>
      </c>
      <c r="T549" s="23">
        <f t="shared" si="91"/>
        <v>0</v>
      </c>
      <c r="U549" s="23">
        <f t="shared" si="91"/>
        <v>0</v>
      </c>
      <c r="V549" s="23">
        <f t="shared" si="91"/>
        <v>0</v>
      </c>
      <c r="W549" s="23">
        <f t="shared" si="91"/>
        <v>0</v>
      </c>
      <c r="X549" s="23">
        <f t="shared" si="91"/>
        <v>0</v>
      </c>
      <c r="Y549" s="118">
        <f t="shared" si="83"/>
        <v>0</v>
      </c>
      <c r="Z549" s="23">
        <f t="shared" si="91"/>
        <v>3733000</v>
      </c>
      <c r="AA549" s="118">
        <f t="shared" si="84"/>
        <v>8000</v>
      </c>
      <c r="AB549" s="118"/>
      <c r="AC549" s="24"/>
      <c r="AD549" s="118">
        <f t="shared" si="88"/>
        <v>8000</v>
      </c>
    </row>
    <row r="550" spans="1:30" ht="21">
      <c r="A550" s="169"/>
      <c r="B550" s="169"/>
      <c r="C550" s="169"/>
      <c r="D550" s="166"/>
      <c r="E550" s="26" t="s">
        <v>337</v>
      </c>
      <c r="F550" s="97">
        <v>2377</v>
      </c>
      <c r="G550" s="20"/>
      <c r="H550" s="21"/>
      <c r="I550" s="50"/>
      <c r="J550" s="58">
        <v>3210</v>
      </c>
      <c r="K550" s="20">
        <f>2000000+1741000</f>
        <v>3741000</v>
      </c>
      <c r="L550" s="35"/>
      <c r="M550" s="20"/>
      <c r="N550" s="20">
        <f>1741000-1741000</f>
        <v>0</v>
      </c>
      <c r="O550" s="20"/>
      <c r="P550" s="20">
        <v>1400000</v>
      </c>
      <c r="Q550" s="20">
        <f>1741000-1400000</f>
        <v>341000</v>
      </c>
      <c r="R550" s="20">
        <f>-343000</f>
        <v>-343000</v>
      </c>
      <c r="S550" s="20">
        <f>343000+2000000</f>
        <v>2343000</v>
      </c>
      <c r="T550" s="20"/>
      <c r="U550" s="20"/>
      <c r="V550" s="20"/>
      <c r="W550" s="20"/>
      <c r="X550" s="20">
        <f>2000000-2000000</f>
        <v>0</v>
      </c>
      <c r="Y550" s="118">
        <f t="shared" si="83"/>
        <v>0</v>
      </c>
      <c r="Z550" s="24">
        <f>1398000+2335000</f>
        <v>3733000</v>
      </c>
      <c r="AA550" s="118">
        <f t="shared" si="84"/>
        <v>8000</v>
      </c>
      <c r="AB550" s="118"/>
      <c r="AC550" s="24"/>
      <c r="AD550" s="118">
        <f t="shared" si="88"/>
        <v>8000</v>
      </c>
    </row>
    <row r="551" spans="1:30" ht="20.25">
      <c r="A551" s="169"/>
      <c r="B551" s="169"/>
      <c r="C551" s="169"/>
      <c r="D551" s="166"/>
      <c r="E551" s="47" t="s">
        <v>123</v>
      </c>
      <c r="F551" s="135"/>
      <c r="G551" s="20"/>
      <c r="H551" s="21"/>
      <c r="I551" s="50"/>
      <c r="J551" s="58"/>
      <c r="K551" s="23">
        <f>SUM(K552:K586)</f>
        <v>17122123.64</v>
      </c>
      <c r="L551" s="23">
        <f aca="true" t="shared" si="92" ref="L551:Z551">SUM(L552:L586)</f>
        <v>3316.3</v>
      </c>
      <c r="M551" s="23">
        <f t="shared" si="92"/>
        <v>0</v>
      </c>
      <c r="N551" s="23">
        <f t="shared" si="92"/>
        <v>277586.02</v>
      </c>
      <c r="O551" s="23">
        <f t="shared" si="92"/>
        <v>2685020</v>
      </c>
      <c r="P551" s="23">
        <f t="shared" si="92"/>
        <v>38500</v>
      </c>
      <c r="Q551" s="23">
        <f t="shared" si="92"/>
        <v>0</v>
      </c>
      <c r="R551" s="23">
        <f t="shared" si="92"/>
        <v>710058.08</v>
      </c>
      <c r="S551" s="23">
        <f t="shared" si="92"/>
        <v>21685.23999999999</v>
      </c>
      <c r="T551" s="23">
        <f t="shared" si="92"/>
        <v>5649814.76</v>
      </c>
      <c r="U551" s="23">
        <f t="shared" si="92"/>
        <v>1653046</v>
      </c>
      <c r="V551" s="23">
        <f t="shared" si="92"/>
        <v>1478708</v>
      </c>
      <c r="W551" s="23">
        <f t="shared" si="92"/>
        <v>4169501.1599999997</v>
      </c>
      <c r="X551" s="23">
        <f t="shared" si="92"/>
        <v>438204.38</v>
      </c>
      <c r="Y551" s="118">
        <f t="shared" si="83"/>
        <v>1.280568540096283E-09</v>
      </c>
      <c r="Z551" s="23">
        <f t="shared" si="92"/>
        <v>3465370.6700000004</v>
      </c>
      <c r="AA551" s="118">
        <f t="shared" si="84"/>
        <v>267478.66999999946</v>
      </c>
      <c r="AB551" s="118"/>
      <c r="AC551" s="24"/>
      <c r="AD551" s="118">
        <f t="shared" si="88"/>
        <v>13656752.97</v>
      </c>
    </row>
    <row r="552" spans="1:30" ht="21">
      <c r="A552" s="169"/>
      <c r="B552" s="169"/>
      <c r="C552" s="169"/>
      <c r="D552" s="166"/>
      <c r="E552" s="19" t="s">
        <v>919</v>
      </c>
      <c r="F552" s="96">
        <v>2378</v>
      </c>
      <c r="G552" s="25">
        <v>2020</v>
      </c>
      <c r="H552" s="20">
        <v>360000</v>
      </c>
      <c r="I552" s="50">
        <v>0</v>
      </c>
      <c r="J552" s="58">
        <v>3210</v>
      </c>
      <c r="K552" s="20">
        <v>360000</v>
      </c>
      <c r="L552" s="35">
        <v>100</v>
      </c>
      <c r="M552" s="20"/>
      <c r="N552" s="20"/>
      <c r="O552" s="20"/>
      <c r="P552" s="20"/>
      <c r="Q552" s="20"/>
      <c r="R552" s="20"/>
      <c r="S552" s="20"/>
      <c r="T552" s="20">
        <v>360000</v>
      </c>
      <c r="U552" s="20"/>
      <c r="V552" s="20"/>
      <c r="W552" s="20"/>
      <c r="X552" s="20"/>
      <c r="Y552" s="118">
        <f t="shared" si="83"/>
        <v>0</v>
      </c>
      <c r="Z552" s="24"/>
      <c r="AA552" s="118">
        <f t="shared" si="84"/>
        <v>0</v>
      </c>
      <c r="AB552" s="118"/>
      <c r="AC552" s="24"/>
      <c r="AD552" s="118">
        <f t="shared" si="88"/>
        <v>360000</v>
      </c>
    </row>
    <row r="553" spans="1:30" ht="21">
      <c r="A553" s="169"/>
      <c r="B553" s="169"/>
      <c r="C553" s="169"/>
      <c r="D553" s="166"/>
      <c r="E553" s="19" t="s">
        <v>347</v>
      </c>
      <c r="F553" s="96">
        <v>2379</v>
      </c>
      <c r="G553" s="25">
        <v>2020</v>
      </c>
      <c r="H553" s="20">
        <v>150000</v>
      </c>
      <c r="I553" s="50">
        <v>0</v>
      </c>
      <c r="J553" s="58">
        <v>3210</v>
      </c>
      <c r="K553" s="20">
        <v>150000</v>
      </c>
      <c r="L553" s="35">
        <v>100</v>
      </c>
      <c r="M553" s="20"/>
      <c r="N553" s="20"/>
      <c r="O553" s="20"/>
      <c r="P553" s="20"/>
      <c r="Q553" s="20"/>
      <c r="R553" s="20">
        <v>150000</v>
      </c>
      <c r="S553" s="20"/>
      <c r="T553" s="20">
        <f>150000-150000</f>
        <v>0</v>
      </c>
      <c r="U553" s="20"/>
      <c r="V553" s="20"/>
      <c r="W553" s="20"/>
      <c r="X553" s="20"/>
      <c r="Y553" s="118">
        <f t="shared" si="83"/>
        <v>0</v>
      </c>
      <c r="Z553" s="24">
        <v>150000</v>
      </c>
      <c r="AA553" s="118">
        <f t="shared" si="84"/>
        <v>0</v>
      </c>
      <c r="AB553" s="118"/>
      <c r="AC553" s="24"/>
      <c r="AD553" s="118">
        <f t="shared" si="88"/>
        <v>0</v>
      </c>
    </row>
    <row r="554" spans="1:30" ht="30.75">
      <c r="A554" s="169"/>
      <c r="B554" s="169"/>
      <c r="C554" s="169"/>
      <c r="D554" s="166"/>
      <c r="E554" s="19" t="s">
        <v>348</v>
      </c>
      <c r="F554" s="96">
        <v>2380</v>
      </c>
      <c r="G554" s="25">
        <v>2020</v>
      </c>
      <c r="H554" s="20">
        <v>320000</v>
      </c>
      <c r="I554" s="50">
        <v>0</v>
      </c>
      <c r="J554" s="58">
        <v>3210</v>
      </c>
      <c r="K554" s="20">
        <v>320000</v>
      </c>
      <c r="L554" s="35">
        <v>100</v>
      </c>
      <c r="M554" s="20"/>
      <c r="N554" s="20"/>
      <c r="O554" s="20"/>
      <c r="P554" s="20"/>
      <c r="Q554" s="20"/>
      <c r="R554" s="20"/>
      <c r="S554" s="20"/>
      <c r="T554" s="20">
        <v>320000</v>
      </c>
      <c r="U554" s="20"/>
      <c r="V554" s="20"/>
      <c r="W554" s="20"/>
      <c r="X554" s="20"/>
      <c r="Y554" s="118">
        <f t="shared" si="83"/>
        <v>0</v>
      </c>
      <c r="Z554" s="24"/>
      <c r="AA554" s="118">
        <f t="shared" si="84"/>
        <v>0</v>
      </c>
      <c r="AB554" s="118"/>
      <c r="AC554" s="24"/>
      <c r="AD554" s="118">
        <f t="shared" si="88"/>
        <v>320000</v>
      </c>
    </row>
    <row r="555" spans="1:30" ht="46.5">
      <c r="A555" s="169"/>
      <c r="B555" s="169"/>
      <c r="C555" s="169"/>
      <c r="D555" s="166"/>
      <c r="E555" s="19" t="s">
        <v>345</v>
      </c>
      <c r="F555" s="96">
        <v>2381</v>
      </c>
      <c r="G555" s="25">
        <v>2020</v>
      </c>
      <c r="H555" s="20">
        <v>1430000</v>
      </c>
      <c r="I555" s="50">
        <v>0</v>
      </c>
      <c r="J555" s="58">
        <v>3210</v>
      </c>
      <c r="K555" s="20">
        <v>1430000</v>
      </c>
      <c r="L555" s="35">
        <v>100</v>
      </c>
      <c r="M555" s="20"/>
      <c r="N555" s="20"/>
      <c r="O555" s="20"/>
      <c r="P555" s="20"/>
      <c r="Q555" s="20"/>
      <c r="R555" s="20"/>
      <c r="S555" s="20"/>
      <c r="T555" s="20">
        <v>1430000</v>
      </c>
      <c r="U555" s="20"/>
      <c r="V555" s="20"/>
      <c r="W555" s="20"/>
      <c r="X555" s="20"/>
      <c r="Y555" s="118">
        <f t="shared" si="83"/>
        <v>0</v>
      </c>
      <c r="Z555" s="24"/>
      <c r="AA555" s="118">
        <f t="shared" si="84"/>
        <v>0</v>
      </c>
      <c r="AB555" s="118"/>
      <c r="AC555" s="24"/>
      <c r="AD555" s="118">
        <f t="shared" si="88"/>
        <v>1430000</v>
      </c>
    </row>
    <row r="556" spans="1:30" ht="21">
      <c r="A556" s="169"/>
      <c r="B556" s="169"/>
      <c r="C556" s="169"/>
      <c r="D556" s="166"/>
      <c r="E556" s="19" t="s">
        <v>350</v>
      </c>
      <c r="F556" s="96">
        <v>2382</v>
      </c>
      <c r="G556" s="25">
        <v>2020</v>
      </c>
      <c r="H556" s="20">
        <v>1000000</v>
      </c>
      <c r="I556" s="50">
        <v>0</v>
      </c>
      <c r="J556" s="58">
        <v>3210</v>
      </c>
      <c r="K556" s="20">
        <v>1000000</v>
      </c>
      <c r="L556" s="35">
        <v>100</v>
      </c>
      <c r="M556" s="20"/>
      <c r="N556" s="20"/>
      <c r="O556" s="20"/>
      <c r="P556" s="20"/>
      <c r="Q556" s="20"/>
      <c r="R556" s="20"/>
      <c r="S556" s="20"/>
      <c r="T556" s="20"/>
      <c r="U556" s="20">
        <v>1000000</v>
      </c>
      <c r="V556" s="20"/>
      <c r="W556" s="20"/>
      <c r="X556" s="20"/>
      <c r="Y556" s="118">
        <f t="shared" si="83"/>
        <v>0</v>
      </c>
      <c r="Z556" s="24"/>
      <c r="AA556" s="118">
        <f t="shared" si="84"/>
        <v>0</v>
      </c>
      <c r="AB556" s="118"/>
      <c r="AC556" s="24"/>
      <c r="AD556" s="118">
        <f t="shared" si="88"/>
        <v>1000000</v>
      </c>
    </row>
    <row r="557" spans="1:30" ht="21">
      <c r="A557" s="169"/>
      <c r="B557" s="169"/>
      <c r="C557" s="169"/>
      <c r="D557" s="166"/>
      <c r="E557" s="26" t="s">
        <v>351</v>
      </c>
      <c r="F557" s="96">
        <v>2383</v>
      </c>
      <c r="G557" s="25">
        <v>2020</v>
      </c>
      <c r="H557" s="24">
        <v>26000</v>
      </c>
      <c r="I557" s="50">
        <v>0</v>
      </c>
      <c r="J557" s="58">
        <v>3210</v>
      </c>
      <c r="K557" s="24">
        <v>26000</v>
      </c>
      <c r="L557" s="35">
        <v>100</v>
      </c>
      <c r="M557" s="20"/>
      <c r="N557" s="20"/>
      <c r="O557" s="20"/>
      <c r="P557" s="20"/>
      <c r="Q557" s="20"/>
      <c r="R557" s="20"/>
      <c r="S557" s="20"/>
      <c r="T557" s="20"/>
      <c r="U557" s="20">
        <v>26000</v>
      </c>
      <c r="V557" s="20"/>
      <c r="W557" s="20"/>
      <c r="X557" s="20"/>
      <c r="Y557" s="118">
        <f aca="true" t="shared" si="93" ref="Y557:Y626">K557-M557-N557-O557-P557-Q557-R557-S557-T557-U557-V557-W557-X557</f>
        <v>0</v>
      </c>
      <c r="Z557" s="24"/>
      <c r="AA557" s="118">
        <f t="shared" si="84"/>
        <v>0</v>
      </c>
      <c r="AB557" s="118"/>
      <c r="AC557" s="24"/>
      <c r="AD557" s="118">
        <f t="shared" si="88"/>
        <v>26000</v>
      </c>
    </row>
    <row r="558" spans="1:30" ht="46.5">
      <c r="A558" s="169"/>
      <c r="B558" s="169"/>
      <c r="C558" s="169"/>
      <c r="D558" s="166"/>
      <c r="E558" s="26" t="s">
        <v>352</v>
      </c>
      <c r="F558" s="96">
        <v>2384</v>
      </c>
      <c r="G558" s="25">
        <v>2020</v>
      </c>
      <c r="H558" s="24">
        <v>190000</v>
      </c>
      <c r="I558" s="50">
        <v>0</v>
      </c>
      <c r="J558" s="58">
        <v>3210</v>
      </c>
      <c r="K558" s="24">
        <v>190000</v>
      </c>
      <c r="L558" s="35">
        <v>100</v>
      </c>
      <c r="M558" s="20"/>
      <c r="N558" s="20"/>
      <c r="O558" s="20"/>
      <c r="P558" s="20"/>
      <c r="Q558" s="20"/>
      <c r="R558" s="20"/>
      <c r="S558" s="20"/>
      <c r="T558" s="20"/>
      <c r="U558" s="20">
        <v>190000</v>
      </c>
      <c r="V558" s="20"/>
      <c r="W558" s="20"/>
      <c r="X558" s="20"/>
      <c r="Y558" s="118">
        <f t="shared" si="93"/>
        <v>0</v>
      </c>
      <c r="Z558" s="24"/>
      <c r="AA558" s="118">
        <f t="shared" si="84"/>
        <v>0</v>
      </c>
      <c r="AB558" s="118"/>
      <c r="AC558" s="24"/>
      <c r="AD558" s="118">
        <f t="shared" si="88"/>
        <v>190000</v>
      </c>
    </row>
    <row r="559" spans="1:30" ht="21">
      <c r="A559" s="169"/>
      <c r="B559" s="169"/>
      <c r="C559" s="169"/>
      <c r="D559" s="166"/>
      <c r="E559" s="26" t="s">
        <v>353</v>
      </c>
      <c r="F559" s="96">
        <v>2385</v>
      </c>
      <c r="G559" s="25">
        <v>2020</v>
      </c>
      <c r="H559" s="24">
        <v>1241000</v>
      </c>
      <c r="I559" s="50">
        <v>0</v>
      </c>
      <c r="J559" s="58">
        <v>3210</v>
      </c>
      <c r="K559" s="24">
        <v>1241000</v>
      </c>
      <c r="L559" s="35">
        <v>100</v>
      </c>
      <c r="M559" s="20"/>
      <c r="N559" s="20"/>
      <c r="O559" s="20">
        <f>1241000</f>
        <v>1241000</v>
      </c>
      <c r="P559" s="20"/>
      <c r="Q559" s="20"/>
      <c r="R559" s="20"/>
      <c r="S559" s="20">
        <f>1241000-1241000</f>
        <v>0</v>
      </c>
      <c r="T559" s="20"/>
      <c r="U559" s="20"/>
      <c r="V559" s="20"/>
      <c r="W559" s="20"/>
      <c r="X559" s="20"/>
      <c r="Y559" s="118">
        <f t="shared" si="93"/>
        <v>0</v>
      </c>
      <c r="Z559" s="24">
        <f>1241000</f>
        <v>1241000</v>
      </c>
      <c r="AA559" s="118">
        <f t="shared" si="84"/>
        <v>0</v>
      </c>
      <c r="AB559" s="118"/>
      <c r="AC559" s="24"/>
      <c r="AD559" s="118">
        <f t="shared" si="88"/>
        <v>0</v>
      </c>
    </row>
    <row r="560" spans="1:30" ht="30.75">
      <c r="A560" s="169"/>
      <c r="B560" s="169"/>
      <c r="C560" s="169"/>
      <c r="D560" s="166"/>
      <c r="E560" s="19" t="s">
        <v>342</v>
      </c>
      <c r="F560" s="96">
        <v>2386</v>
      </c>
      <c r="G560" s="25" t="s">
        <v>201</v>
      </c>
      <c r="H560" s="24">
        <v>674803</v>
      </c>
      <c r="I560" s="20">
        <f>(K560/H560*100-100)*-1</f>
        <v>8.97121085709459</v>
      </c>
      <c r="J560" s="58">
        <v>3210</v>
      </c>
      <c r="K560" s="20">
        <v>614265</v>
      </c>
      <c r="L560" s="35">
        <v>100</v>
      </c>
      <c r="M560" s="20"/>
      <c r="N560" s="20"/>
      <c r="O560" s="20"/>
      <c r="P560" s="20"/>
      <c r="Q560" s="20"/>
      <c r="R560" s="20">
        <v>177219</v>
      </c>
      <c r="S560" s="20"/>
      <c r="T560" s="20"/>
      <c r="U560" s="20">
        <f>614265-177219</f>
        <v>437046</v>
      </c>
      <c r="V560" s="20"/>
      <c r="W560" s="20"/>
      <c r="X560" s="20"/>
      <c r="Y560" s="118">
        <f t="shared" si="93"/>
        <v>0</v>
      </c>
      <c r="Z560" s="24">
        <f>177219</f>
        <v>177219</v>
      </c>
      <c r="AA560" s="118">
        <f t="shared" si="84"/>
        <v>0</v>
      </c>
      <c r="AB560" s="118"/>
      <c r="AC560" s="24"/>
      <c r="AD560" s="118">
        <f t="shared" si="88"/>
        <v>437046</v>
      </c>
    </row>
    <row r="561" spans="1:30" ht="46.5">
      <c r="A561" s="169"/>
      <c r="B561" s="169"/>
      <c r="C561" s="169"/>
      <c r="D561" s="166"/>
      <c r="E561" s="19" t="s">
        <v>339</v>
      </c>
      <c r="F561" s="96">
        <v>2387</v>
      </c>
      <c r="G561" s="25">
        <v>2020</v>
      </c>
      <c r="H561" s="20">
        <v>1100000</v>
      </c>
      <c r="I561" s="50">
        <v>0</v>
      </c>
      <c r="J561" s="58">
        <v>3210</v>
      </c>
      <c r="K561" s="20">
        <f>1100000-1080000</f>
        <v>20000</v>
      </c>
      <c r="L561" s="35">
        <v>100</v>
      </c>
      <c r="M561" s="20"/>
      <c r="N561" s="20"/>
      <c r="O561" s="20"/>
      <c r="P561" s="20"/>
      <c r="Q561" s="20"/>
      <c r="R561" s="20">
        <f>6082</f>
        <v>6082</v>
      </c>
      <c r="S561" s="20"/>
      <c r="T561" s="20"/>
      <c r="U561" s="20"/>
      <c r="V561" s="20">
        <f>1100000-1080000-6082</f>
        <v>13918</v>
      </c>
      <c r="W561" s="20"/>
      <c r="X561" s="20"/>
      <c r="Y561" s="118">
        <f t="shared" si="93"/>
        <v>0</v>
      </c>
      <c r="Z561" s="24">
        <f>6082</f>
        <v>6082</v>
      </c>
      <c r="AA561" s="118">
        <f t="shared" si="84"/>
        <v>0</v>
      </c>
      <c r="AB561" s="118"/>
      <c r="AC561" s="24"/>
      <c r="AD561" s="118">
        <f t="shared" si="88"/>
        <v>13918</v>
      </c>
    </row>
    <row r="562" spans="1:30" ht="30.75" hidden="1">
      <c r="A562" s="169"/>
      <c r="B562" s="169"/>
      <c r="C562" s="169"/>
      <c r="D562" s="166"/>
      <c r="E562" s="19" t="s">
        <v>693</v>
      </c>
      <c r="F562" s="96">
        <v>2388</v>
      </c>
      <c r="G562" s="25">
        <v>2020</v>
      </c>
      <c r="H562" s="20">
        <v>1500000</v>
      </c>
      <c r="I562" s="20">
        <v>0</v>
      </c>
      <c r="J562" s="58">
        <v>3210</v>
      </c>
      <c r="K562" s="20">
        <f>1500000-1500000</f>
        <v>0</v>
      </c>
      <c r="L562" s="35">
        <v>100</v>
      </c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>
        <f>1500000-1500000</f>
        <v>0</v>
      </c>
      <c r="X562" s="20"/>
      <c r="Y562" s="118">
        <f>K562-M562-N562-O562-P562-Q562-R562-S562-T562-U562-V562-W562-X562</f>
        <v>0</v>
      </c>
      <c r="Z562" s="24"/>
      <c r="AA562" s="118">
        <f t="shared" si="84"/>
        <v>0</v>
      </c>
      <c r="AB562" s="118"/>
      <c r="AC562" s="24"/>
      <c r="AD562" s="118">
        <f t="shared" si="88"/>
        <v>0</v>
      </c>
    </row>
    <row r="563" spans="1:30" ht="21">
      <c r="A563" s="169"/>
      <c r="B563" s="169"/>
      <c r="C563" s="169"/>
      <c r="D563" s="166"/>
      <c r="E563" s="19" t="s">
        <v>891</v>
      </c>
      <c r="F563" s="96">
        <v>2617</v>
      </c>
      <c r="G563" s="25"/>
      <c r="H563" s="20"/>
      <c r="I563" s="20"/>
      <c r="J563" s="58">
        <v>3210</v>
      </c>
      <c r="K563" s="20">
        <v>144705.34</v>
      </c>
      <c r="L563" s="35"/>
      <c r="M563" s="20"/>
      <c r="N563" s="20"/>
      <c r="O563" s="20"/>
      <c r="P563" s="20"/>
      <c r="Q563" s="20"/>
      <c r="R563" s="20">
        <v>143544.58</v>
      </c>
      <c r="S563" s="20"/>
      <c r="T563" s="20"/>
      <c r="U563" s="20"/>
      <c r="V563" s="20"/>
      <c r="W563" s="20"/>
      <c r="X563" s="20">
        <f>144705.34-143544.58</f>
        <v>1160.7600000000093</v>
      </c>
      <c r="Y563" s="118">
        <f>K563-M563-N563-O563-P563-Q563-R563-S563-T563-U563-V563-W563-X563</f>
        <v>0</v>
      </c>
      <c r="Z563" s="24">
        <f>143544.58</f>
        <v>143544.58</v>
      </c>
      <c r="AA563" s="118">
        <f t="shared" si="84"/>
        <v>0</v>
      </c>
      <c r="AB563" s="118"/>
      <c r="AC563" s="24"/>
      <c r="AD563" s="118">
        <f t="shared" si="88"/>
        <v>1160.7600000000093</v>
      </c>
    </row>
    <row r="564" spans="1:30" ht="30.75">
      <c r="A564" s="169"/>
      <c r="B564" s="169"/>
      <c r="C564" s="169"/>
      <c r="D564" s="166"/>
      <c r="E564" s="19" t="s">
        <v>340</v>
      </c>
      <c r="F564" s="96">
        <v>2389</v>
      </c>
      <c r="G564" s="25">
        <v>2020</v>
      </c>
      <c r="H564" s="20">
        <f>3900000+254770</f>
        <v>4154770</v>
      </c>
      <c r="I564" s="50">
        <v>0</v>
      </c>
      <c r="J564" s="58">
        <v>3210</v>
      </c>
      <c r="K564" s="20">
        <f>3900000+254770-3900000</f>
        <v>254770</v>
      </c>
      <c r="L564" s="35">
        <v>100</v>
      </c>
      <c r="M564" s="20"/>
      <c r="N564" s="20"/>
      <c r="O564" s="20"/>
      <c r="P564" s="20"/>
      <c r="Q564" s="20"/>
      <c r="R564" s="20"/>
      <c r="S564" s="20"/>
      <c r="T564" s="20"/>
      <c r="U564" s="20"/>
      <c r="V564" s="20">
        <f>4154770-3900000</f>
        <v>254770</v>
      </c>
      <c r="W564" s="20"/>
      <c r="X564" s="20"/>
      <c r="Y564" s="118">
        <f t="shared" si="93"/>
        <v>0</v>
      </c>
      <c r="Z564" s="24"/>
      <c r="AA564" s="118">
        <f t="shared" si="84"/>
        <v>0</v>
      </c>
      <c r="AB564" s="118"/>
      <c r="AC564" s="24"/>
      <c r="AD564" s="118">
        <f t="shared" si="88"/>
        <v>254770</v>
      </c>
    </row>
    <row r="565" spans="1:30" ht="30.75">
      <c r="A565" s="169"/>
      <c r="B565" s="169"/>
      <c r="C565" s="169"/>
      <c r="D565" s="166"/>
      <c r="E565" s="19" t="s">
        <v>341</v>
      </c>
      <c r="F565" s="96">
        <v>2390</v>
      </c>
      <c r="G565" s="25">
        <v>2020</v>
      </c>
      <c r="H565" s="20">
        <v>700000</v>
      </c>
      <c r="I565" s="50">
        <v>0</v>
      </c>
      <c r="J565" s="58">
        <v>3210</v>
      </c>
      <c r="K565" s="20">
        <v>700000</v>
      </c>
      <c r="L565" s="35">
        <v>100</v>
      </c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>
        <v>700000</v>
      </c>
      <c r="X565" s="20"/>
      <c r="Y565" s="118">
        <f t="shared" si="93"/>
        <v>0</v>
      </c>
      <c r="Z565" s="24"/>
      <c r="AA565" s="118">
        <f t="shared" si="84"/>
        <v>0</v>
      </c>
      <c r="AB565" s="118"/>
      <c r="AC565" s="24"/>
      <c r="AD565" s="118">
        <f t="shared" si="88"/>
        <v>700000</v>
      </c>
    </row>
    <row r="566" spans="1:30" ht="46.5">
      <c r="A566" s="169"/>
      <c r="B566" s="169"/>
      <c r="C566" s="169"/>
      <c r="D566" s="166"/>
      <c r="E566" s="19" t="s">
        <v>349</v>
      </c>
      <c r="F566" s="96">
        <v>2391</v>
      </c>
      <c r="G566" s="25" t="s">
        <v>195</v>
      </c>
      <c r="H566" s="20">
        <v>14210020</v>
      </c>
      <c r="I566" s="50">
        <v>0</v>
      </c>
      <c r="J566" s="58">
        <v>3210</v>
      </c>
      <c r="K566" s="20">
        <f>14210020-5000000-5000000</f>
        <v>4210020</v>
      </c>
      <c r="L566" s="35">
        <v>64.8</v>
      </c>
      <c r="M566" s="20"/>
      <c r="N566" s="20"/>
      <c r="O566" s="20"/>
      <c r="P566" s="20"/>
      <c r="Q566" s="20"/>
      <c r="R566" s="20"/>
      <c r="S566" s="20"/>
      <c r="T566" s="20">
        <v>3000000</v>
      </c>
      <c r="U566" s="20"/>
      <c r="V566" s="20">
        <f>6210020-5000000</f>
        <v>1210020</v>
      </c>
      <c r="W566" s="20"/>
      <c r="X566" s="20"/>
      <c r="Y566" s="118">
        <f t="shared" si="93"/>
        <v>0</v>
      </c>
      <c r="Z566" s="24"/>
      <c r="AA566" s="118">
        <f t="shared" si="84"/>
        <v>0</v>
      </c>
      <c r="AB566" s="118"/>
      <c r="AC566" s="24"/>
      <c r="AD566" s="118">
        <f t="shared" si="88"/>
        <v>4210020</v>
      </c>
    </row>
    <row r="567" spans="1:30" ht="30.75">
      <c r="A567" s="169"/>
      <c r="B567" s="169"/>
      <c r="C567" s="169"/>
      <c r="D567" s="166"/>
      <c r="E567" s="19" t="s">
        <v>633</v>
      </c>
      <c r="F567" s="96">
        <v>2392</v>
      </c>
      <c r="G567" s="25" t="s">
        <v>207</v>
      </c>
      <c r="H567" s="20">
        <v>3000000</v>
      </c>
      <c r="I567" s="20">
        <v>1.5</v>
      </c>
      <c r="J567" s="58">
        <v>3210</v>
      </c>
      <c r="K567" s="20">
        <f>3000000-1500000+1500000</f>
        <v>3000000</v>
      </c>
      <c r="L567" s="35">
        <v>51.5</v>
      </c>
      <c r="M567" s="20"/>
      <c r="N567" s="20"/>
      <c r="O567" s="20">
        <f>900000</f>
        <v>900000</v>
      </c>
      <c r="P567" s="20">
        <v>38500</v>
      </c>
      <c r="Q567" s="20"/>
      <c r="R567" s="20"/>
      <c r="S567" s="20">
        <f>921685.24-900000</f>
        <v>21685.23999999999</v>
      </c>
      <c r="T567" s="20">
        <f>578314.76-38500</f>
        <v>539814.76</v>
      </c>
      <c r="U567" s="20"/>
      <c r="V567" s="20"/>
      <c r="W567" s="20">
        <f>1500000</f>
        <v>1500000</v>
      </c>
      <c r="X567" s="20"/>
      <c r="Y567" s="118">
        <f t="shared" si="93"/>
        <v>0</v>
      </c>
      <c r="Z567" s="24">
        <f>938483.66</f>
        <v>938483.66</v>
      </c>
      <c r="AA567" s="118">
        <f t="shared" si="84"/>
        <v>21701.579999999958</v>
      </c>
      <c r="AB567" s="118"/>
      <c r="AC567" s="24"/>
      <c r="AD567" s="118">
        <f t="shared" si="88"/>
        <v>2061516.3399999999</v>
      </c>
    </row>
    <row r="568" spans="1:30" ht="21" hidden="1">
      <c r="A568" s="169"/>
      <c r="B568" s="169"/>
      <c r="C568" s="169"/>
      <c r="D568" s="166"/>
      <c r="E568" s="26" t="s">
        <v>354</v>
      </c>
      <c r="F568" s="96">
        <v>2393</v>
      </c>
      <c r="G568" s="25">
        <v>2020</v>
      </c>
      <c r="H568" s="24">
        <v>24569.15</v>
      </c>
      <c r="I568" s="50">
        <v>0</v>
      </c>
      <c r="J568" s="58">
        <v>3210</v>
      </c>
      <c r="K568" s="24">
        <f>24569.15-24569.15</f>
        <v>0</v>
      </c>
      <c r="L568" s="35">
        <v>100</v>
      </c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>
        <f>24569.15-24569.15</f>
        <v>0</v>
      </c>
      <c r="Y568" s="118">
        <f t="shared" si="93"/>
        <v>0</v>
      </c>
      <c r="Z568" s="24"/>
      <c r="AA568" s="118">
        <f t="shared" si="84"/>
        <v>0</v>
      </c>
      <c r="AB568" s="118"/>
      <c r="AC568" s="24"/>
      <c r="AD568" s="118">
        <f t="shared" si="88"/>
        <v>0</v>
      </c>
    </row>
    <row r="569" spans="1:30" ht="46.5" hidden="1">
      <c r="A569" s="169"/>
      <c r="B569" s="169"/>
      <c r="C569" s="169"/>
      <c r="D569" s="166"/>
      <c r="E569" s="26" t="s">
        <v>355</v>
      </c>
      <c r="F569" s="96">
        <v>2394</v>
      </c>
      <c r="G569" s="25">
        <v>2020</v>
      </c>
      <c r="H569" s="24">
        <v>2631.58</v>
      </c>
      <c r="I569" s="50">
        <v>0</v>
      </c>
      <c r="J569" s="58">
        <v>3210</v>
      </c>
      <c r="K569" s="24">
        <f>2631.58-2631.58</f>
        <v>0</v>
      </c>
      <c r="L569" s="35">
        <v>100</v>
      </c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>
        <f>2631.58-2631.58</f>
        <v>0</v>
      </c>
      <c r="Y569" s="118">
        <f t="shared" si="93"/>
        <v>0</v>
      </c>
      <c r="Z569" s="24"/>
      <c r="AA569" s="118">
        <f t="shared" si="84"/>
        <v>0</v>
      </c>
      <c r="AB569" s="118"/>
      <c r="AC569" s="24"/>
      <c r="AD569" s="118">
        <f t="shared" si="88"/>
        <v>0</v>
      </c>
    </row>
    <row r="570" spans="1:30" ht="46.5" hidden="1">
      <c r="A570" s="169"/>
      <c r="B570" s="169"/>
      <c r="C570" s="169"/>
      <c r="D570" s="166"/>
      <c r="E570" s="26" t="s">
        <v>356</v>
      </c>
      <c r="F570" s="96">
        <v>2395</v>
      </c>
      <c r="G570" s="25">
        <v>2020</v>
      </c>
      <c r="H570" s="24">
        <v>13766.59</v>
      </c>
      <c r="I570" s="50">
        <v>0</v>
      </c>
      <c r="J570" s="58">
        <v>3210</v>
      </c>
      <c r="K570" s="24">
        <f>13766.59-13766.59</f>
        <v>0</v>
      </c>
      <c r="L570" s="35">
        <v>100</v>
      </c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>
        <f>13766.59-13766.59</f>
        <v>0</v>
      </c>
      <c r="Y570" s="118">
        <f t="shared" si="93"/>
        <v>0</v>
      </c>
      <c r="Z570" s="24"/>
      <c r="AA570" s="118">
        <f t="shared" si="84"/>
        <v>0</v>
      </c>
      <c r="AB570" s="118"/>
      <c r="AC570" s="24"/>
      <c r="AD570" s="118">
        <f t="shared" si="88"/>
        <v>0</v>
      </c>
    </row>
    <row r="571" spans="1:30" ht="21">
      <c r="A571" s="169"/>
      <c r="B571" s="169"/>
      <c r="C571" s="169"/>
      <c r="D571" s="166"/>
      <c r="E571" s="26" t="s">
        <v>630</v>
      </c>
      <c r="F571" s="96">
        <v>2396</v>
      </c>
      <c r="G571" s="25">
        <v>2020</v>
      </c>
      <c r="H571" s="24">
        <v>571636</v>
      </c>
      <c r="I571" s="50">
        <v>0</v>
      </c>
      <c r="J571" s="58">
        <v>3210</v>
      </c>
      <c r="K571" s="24">
        <v>571636</v>
      </c>
      <c r="L571" s="35">
        <v>100</v>
      </c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>
        <v>571636</v>
      </c>
      <c r="X571" s="20"/>
      <c r="Y571" s="118">
        <f t="shared" si="93"/>
        <v>0</v>
      </c>
      <c r="Z571" s="24"/>
      <c r="AA571" s="118">
        <f t="shared" si="84"/>
        <v>0</v>
      </c>
      <c r="AB571" s="118"/>
      <c r="AC571" s="24"/>
      <c r="AD571" s="118">
        <f t="shared" si="88"/>
        <v>571636</v>
      </c>
    </row>
    <row r="572" spans="1:30" ht="46.5">
      <c r="A572" s="169"/>
      <c r="B572" s="169"/>
      <c r="C572" s="169"/>
      <c r="D572" s="166"/>
      <c r="E572" s="26" t="s">
        <v>357</v>
      </c>
      <c r="F572" s="96">
        <v>2397</v>
      </c>
      <c r="G572" s="25">
        <v>2020</v>
      </c>
      <c r="H572" s="24">
        <v>777385</v>
      </c>
      <c r="I572" s="50">
        <v>0</v>
      </c>
      <c r="J572" s="58">
        <v>3210</v>
      </c>
      <c r="K572" s="24">
        <v>777385</v>
      </c>
      <c r="L572" s="35">
        <v>100</v>
      </c>
      <c r="M572" s="20"/>
      <c r="N572" s="20">
        <v>277586.02</v>
      </c>
      <c r="O572" s="20">
        <f>33020</f>
        <v>33020</v>
      </c>
      <c r="P572" s="20"/>
      <c r="Q572" s="20"/>
      <c r="R572" s="20">
        <f>157867.5</f>
        <v>157867.5</v>
      </c>
      <c r="S572" s="20"/>
      <c r="T572" s="20"/>
      <c r="U572" s="20"/>
      <c r="V572" s="20"/>
      <c r="W572" s="20">
        <f>499798.98-33020-157867.5</f>
        <v>308911.48</v>
      </c>
      <c r="X572" s="20"/>
      <c r="Y572" s="118">
        <f t="shared" si="93"/>
        <v>0</v>
      </c>
      <c r="Z572" s="24">
        <f>310605.43+157867.5</f>
        <v>468472.93</v>
      </c>
      <c r="AA572" s="118">
        <f t="shared" si="84"/>
        <v>0.5900000000256114</v>
      </c>
      <c r="AB572" s="118"/>
      <c r="AC572" s="24"/>
      <c r="AD572" s="118">
        <f t="shared" si="88"/>
        <v>308912.07</v>
      </c>
    </row>
    <row r="573" spans="1:30" ht="30.75">
      <c r="A573" s="169"/>
      <c r="B573" s="169"/>
      <c r="C573" s="169"/>
      <c r="D573" s="166"/>
      <c r="E573" s="26" t="s">
        <v>631</v>
      </c>
      <c r="F573" s="96">
        <v>2398</v>
      </c>
      <c r="G573" s="25">
        <v>2020</v>
      </c>
      <c r="H573" s="24">
        <v>200000</v>
      </c>
      <c r="I573" s="50">
        <v>0</v>
      </c>
      <c r="J573" s="58">
        <v>3210</v>
      </c>
      <c r="K573" s="24">
        <v>200000</v>
      </c>
      <c r="L573" s="35">
        <v>100</v>
      </c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>
        <v>200000</v>
      </c>
      <c r="X573" s="20"/>
      <c r="Y573" s="118">
        <f t="shared" si="93"/>
        <v>0</v>
      </c>
      <c r="Z573" s="24"/>
      <c r="AA573" s="118">
        <f t="shared" si="84"/>
        <v>0</v>
      </c>
      <c r="AB573" s="118"/>
      <c r="AC573" s="24"/>
      <c r="AD573" s="118">
        <f t="shared" si="88"/>
        <v>200000</v>
      </c>
    </row>
    <row r="574" spans="1:30" ht="30.75">
      <c r="A574" s="169"/>
      <c r="B574" s="169"/>
      <c r="C574" s="169"/>
      <c r="D574" s="166"/>
      <c r="E574" s="26" t="s">
        <v>358</v>
      </c>
      <c r="F574" s="96">
        <v>2399</v>
      </c>
      <c r="G574" s="25">
        <v>2020</v>
      </c>
      <c r="H574" s="24">
        <v>436721.88</v>
      </c>
      <c r="I574" s="50">
        <v>0</v>
      </c>
      <c r="J574" s="58">
        <v>3210</v>
      </c>
      <c r="K574" s="24">
        <v>436721.88</v>
      </c>
      <c r="L574" s="35">
        <v>100</v>
      </c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>
        <v>436721.88</v>
      </c>
      <c r="X574" s="20"/>
      <c r="Y574" s="118">
        <f t="shared" si="93"/>
        <v>0</v>
      </c>
      <c r="Z574" s="24"/>
      <c r="AA574" s="118">
        <f t="shared" si="84"/>
        <v>0</v>
      </c>
      <c r="AB574" s="118"/>
      <c r="AC574" s="24"/>
      <c r="AD574" s="118">
        <f t="shared" si="88"/>
        <v>436721.88</v>
      </c>
    </row>
    <row r="575" spans="1:30" ht="46.5" hidden="1">
      <c r="A575" s="169"/>
      <c r="B575" s="169"/>
      <c r="C575" s="169"/>
      <c r="D575" s="166"/>
      <c r="E575" s="26" t="s">
        <v>359</v>
      </c>
      <c r="F575" s="96">
        <v>2400</v>
      </c>
      <c r="G575" s="25">
        <v>2020</v>
      </c>
      <c r="H575" s="24">
        <v>981</v>
      </c>
      <c r="I575" s="50">
        <v>0</v>
      </c>
      <c r="J575" s="58">
        <v>3210</v>
      </c>
      <c r="K575" s="24">
        <f>981-981</f>
        <v>0</v>
      </c>
      <c r="L575" s="35">
        <v>100</v>
      </c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>
        <f>981-981</f>
        <v>0</v>
      </c>
      <c r="Y575" s="118">
        <f t="shared" si="93"/>
        <v>0</v>
      </c>
      <c r="Z575" s="24"/>
      <c r="AA575" s="118">
        <f t="shared" si="84"/>
        <v>0</v>
      </c>
      <c r="AB575" s="118"/>
      <c r="AC575" s="24"/>
      <c r="AD575" s="118">
        <f t="shared" si="88"/>
        <v>0</v>
      </c>
    </row>
    <row r="576" spans="1:30" ht="21">
      <c r="A576" s="169"/>
      <c r="B576" s="169"/>
      <c r="C576" s="169"/>
      <c r="D576" s="166"/>
      <c r="E576" s="26" t="s">
        <v>632</v>
      </c>
      <c r="F576" s="96">
        <v>2401</v>
      </c>
      <c r="G576" s="25">
        <v>2020</v>
      </c>
      <c r="H576" s="24">
        <v>198701.8</v>
      </c>
      <c r="I576" s="50">
        <v>0</v>
      </c>
      <c r="J576" s="58">
        <v>3210</v>
      </c>
      <c r="K576" s="24">
        <v>198701.8</v>
      </c>
      <c r="L576" s="35">
        <v>100</v>
      </c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>
        <v>198701.8</v>
      </c>
      <c r="X576" s="20"/>
      <c r="Y576" s="118">
        <f t="shared" si="93"/>
        <v>0</v>
      </c>
      <c r="Z576" s="24"/>
      <c r="AA576" s="118">
        <f t="shared" si="84"/>
        <v>0</v>
      </c>
      <c r="AB576" s="118"/>
      <c r="AC576" s="24"/>
      <c r="AD576" s="118">
        <f t="shared" si="88"/>
        <v>198701.8</v>
      </c>
    </row>
    <row r="577" spans="1:30" ht="30.75" hidden="1">
      <c r="A577" s="169"/>
      <c r="B577" s="169"/>
      <c r="C577" s="169"/>
      <c r="D577" s="166"/>
      <c r="E577" s="26" t="s">
        <v>360</v>
      </c>
      <c r="F577" s="96">
        <v>2402</v>
      </c>
      <c r="G577" s="25">
        <v>2020</v>
      </c>
      <c r="H577" s="24">
        <v>32851.22</v>
      </c>
      <c r="I577" s="50">
        <v>0</v>
      </c>
      <c r="J577" s="58">
        <v>3210</v>
      </c>
      <c r="K577" s="24">
        <f>32851.22-32851.22</f>
        <v>0</v>
      </c>
      <c r="L577" s="35">
        <v>100</v>
      </c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>
        <f>32851.22-32851.22</f>
        <v>0</v>
      </c>
      <c r="Y577" s="118">
        <f t="shared" si="93"/>
        <v>0</v>
      </c>
      <c r="Z577" s="24"/>
      <c r="AA577" s="118">
        <f t="shared" si="84"/>
        <v>0</v>
      </c>
      <c r="AB577" s="118"/>
      <c r="AC577" s="24"/>
      <c r="AD577" s="118">
        <f t="shared" si="88"/>
        <v>0</v>
      </c>
    </row>
    <row r="578" spans="1:30" ht="21" hidden="1">
      <c r="A578" s="169"/>
      <c r="B578" s="169"/>
      <c r="C578" s="169"/>
      <c r="D578" s="166"/>
      <c r="E578" s="26" t="s">
        <v>361</v>
      </c>
      <c r="F578" s="96">
        <v>2403</v>
      </c>
      <c r="G578" s="25">
        <v>2020</v>
      </c>
      <c r="H578" s="24">
        <v>6926.46</v>
      </c>
      <c r="I578" s="50">
        <v>0</v>
      </c>
      <c r="J578" s="58">
        <v>3210</v>
      </c>
      <c r="K578" s="24">
        <f>6926.46-6926.46</f>
        <v>0</v>
      </c>
      <c r="L578" s="35">
        <v>100</v>
      </c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>
        <f>6926.46-6926.46</f>
        <v>0</v>
      </c>
      <c r="Y578" s="118">
        <f t="shared" si="93"/>
        <v>0</v>
      </c>
      <c r="Z578" s="24"/>
      <c r="AA578" s="118">
        <f t="shared" si="84"/>
        <v>0</v>
      </c>
      <c r="AB578" s="118"/>
      <c r="AC578" s="24"/>
      <c r="AD578" s="118">
        <f t="shared" si="88"/>
        <v>0</v>
      </c>
    </row>
    <row r="579" spans="1:30" ht="46.5">
      <c r="A579" s="169"/>
      <c r="B579" s="169"/>
      <c r="C579" s="169"/>
      <c r="D579" s="166"/>
      <c r="E579" s="19" t="s">
        <v>338</v>
      </c>
      <c r="F579" s="96">
        <v>2404</v>
      </c>
      <c r="G579" s="25">
        <v>2020</v>
      </c>
      <c r="H579" s="20">
        <v>1150000</v>
      </c>
      <c r="I579" s="50">
        <v>0</v>
      </c>
      <c r="J579" s="58">
        <v>3210</v>
      </c>
      <c r="K579" s="20">
        <f>1150000-1100000</f>
        <v>50000</v>
      </c>
      <c r="L579" s="35">
        <v>100</v>
      </c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>
        <f>1150000-1100000</f>
        <v>50000</v>
      </c>
      <c r="X579" s="20"/>
      <c r="Y579" s="118">
        <f t="shared" si="93"/>
        <v>0</v>
      </c>
      <c r="Z579" s="24"/>
      <c r="AA579" s="118">
        <f t="shared" si="84"/>
        <v>0</v>
      </c>
      <c r="AB579" s="118"/>
      <c r="AC579" s="24"/>
      <c r="AD579" s="118">
        <f t="shared" si="88"/>
        <v>50000</v>
      </c>
    </row>
    <row r="580" spans="1:30" ht="46.5">
      <c r="A580" s="169"/>
      <c r="B580" s="169"/>
      <c r="C580" s="169"/>
      <c r="D580" s="166"/>
      <c r="E580" s="19" t="s">
        <v>723</v>
      </c>
      <c r="F580" s="96">
        <v>2405</v>
      </c>
      <c r="G580" s="25">
        <v>2020</v>
      </c>
      <c r="H580" s="20">
        <v>1520000</v>
      </c>
      <c r="I580" s="50">
        <v>0</v>
      </c>
      <c r="J580" s="58">
        <v>3210</v>
      </c>
      <c r="K580" s="20">
        <f>1520000-1470000</f>
        <v>50000</v>
      </c>
      <c r="L580" s="35">
        <v>100</v>
      </c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>
        <f>1520000-1470000</f>
        <v>50000</v>
      </c>
      <c r="Y580" s="118">
        <f t="shared" si="93"/>
        <v>0</v>
      </c>
      <c r="Z580" s="24"/>
      <c r="AA580" s="118">
        <f t="shared" si="84"/>
        <v>0</v>
      </c>
      <c r="AB580" s="118"/>
      <c r="AC580" s="24"/>
      <c r="AD580" s="118">
        <f t="shared" si="88"/>
        <v>50000</v>
      </c>
    </row>
    <row r="581" spans="1:30" ht="46.5">
      <c r="A581" s="169"/>
      <c r="B581" s="169"/>
      <c r="C581" s="169"/>
      <c r="D581" s="166"/>
      <c r="E581" s="19" t="s">
        <v>343</v>
      </c>
      <c r="F581" s="96">
        <v>2406</v>
      </c>
      <c r="G581" s="25">
        <v>2020</v>
      </c>
      <c r="H581" s="20">
        <f>45375+30000</f>
        <v>75375</v>
      </c>
      <c r="I581" s="50">
        <v>0</v>
      </c>
      <c r="J581" s="58">
        <v>3210</v>
      </c>
      <c r="K581" s="20">
        <f>45375+30000</f>
        <v>75375</v>
      </c>
      <c r="L581" s="35">
        <v>100</v>
      </c>
      <c r="M581" s="20"/>
      <c r="N581" s="20"/>
      <c r="O581" s="20"/>
      <c r="P581" s="20"/>
      <c r="Q581" s="20"/>
      <c r="R581" s="20">
        <v>75345</v>
      </c>
      <c r="S581" s="20"/>
      <c r="T581" s="20"/>
      <c r="U581" s="20"/>
      <c r="V581" s="20"/>
      <c r="W581" s="20">
        <f>75375-75345</f>
        <v>30</v>
      </c>
      <c r="X581" s="20"/>
      <c r="Y581" s="118">
        <f t="shared" si="93"/>
        <v>0</v>
      </c>
      <c r="Z581" s="24">
        <f>75345</f>
        <v>75345</v>
      </c>
      <c r="AA581" s="118">
        <f t="shared" si="84"/>
        <v>0</v>
      </c>
      <c r="AB581" s="118"/>
      <c r="AC581" s="24"/>
      <c r="AD581" s="118">
        <f t="shared" si="88"/>
        <v>30</v>
      </c>
    </row>
    <row r="582" spans="1:30" ht="46.5">
      <c r="A582" s="169"/>
      <c r="B582" s="169"/>
      <c r="C582" s="169"/>
      <c r="D582" s="166"/>
      <c r="E582" s="19" t="s">
        <v>344</v>
      </c>
      <c r="F582" s="96">
        <v>2407</v>
      </c>
      <c r="G582" s="25">
        <v>2020</v>
      </c>
      <c r="H582" s="20">
        <v>503500</v>
      </c>
      <c r="I582" s="50">
        <v>0</v>
      </c>
      <c r="J582" s="58">
        <v>3210</v>
      </c>
      <c r="K582" s="20">
        <f>503500+96467.92</f>
        <v>599967.92</v>
      </c>
      <c r="L582" s="35">
        <v>100</v>
      </c>
      <c r="M582" s="20"/>
      <c r="N582" s="20"/>
      <c r="O582" s="20">
        <f>300000</f>
        <v>300000</v>
      </c>
      <c r="P582" s="20"/>
      <c r="Q582" s="20"/>
      <c r="R582" s="20"/>
      <c r="S582" s="20"/>
      <c r="T582" s="20"/>
      <c r="U582" s="20"/>
      <c r="V582" s="20"/>
      <c r="W582" s="20">
        <f>503500-300000</f>
        <v>203500</v>
      </c>
      <c r="X582" s="20">
        <f>96467.92</f>
        <v>96467.92</v>
      </c>
      <c r="Y582" s="118">
        <f t="shared" si="93"/>
        <v>0</v>
      </c>
      <c r="Z582" s="24">
        <f>265223.5</f>
        <v>265223.5</v>
      </c>
      <c r="AA582" s="118">
        <f t="shared" si="84"/>
        <v>34776.5</v>
      </c>
      <c r="AB582" s="118"/>
      <c r="AC582" s="24"/>
      <c r="AD582" s="118">
        <f t="shared" si="88"/>
        <v>334744.42000000004</v>
      </c>
    </row>
    <row r="583" spans="1:30" ht="30.75">
      <c r="A583" s="169"/>
      <c r="B583" s="169"/>
      <c r="C583" s="169"/>
      <c r="D583" s="166"/>
      <c r="E583" s="26" t="s">
        <v>362</v>
      </c>
      <c r="F583" s="96">
        <v>2408</v>
      </c>
      <c r="G583" s="25">
        <v>2020</v>
      </c>
      <c r="H583" s="24">
        <v>90000</v>
      </c>
      <c r="I583" s="50">
        <v>0</v>
      </c>
      <c r="J583" s="58">
        <v>3210</v>
      </c>
      <c r="K583" s="24">
        <v>90000</v>
      </c>
      <c r="L583" s="35">
        <v>100</v>
      </c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>
        <v>90000</v>
      </c>
      <c r="Y583" s="118">
        <f t="shared" si="93"/>
        <v>0</v>
      </c>
      <c r="Z583" s="24"/>
      <c r="AA583" s="118">
        <f t="shared" si="84"/>
        <v>0</v>
      </c>
      <c r="AB583" s="118"/>
      <c r="AC583" s="24"/>
      <c r="AD583" s="118">
        <f t="shared" si="88"/>
        <v>90000</v>
      </c>
    </row>
    <row r="584" spans="1:30" ht="42.75" customHeight="1" hidden="1">
      <c r="A584" s="169"/>
      <c r="B584" s="169"/>
      <c r="C584" s="169"/>
      <c r="D584" s="166"/>
      <c r="E584" s="26" t="s">
        <v>742</v>
      </c>
      <c r="F584" s="96">
        <v>2409</v>
      </c>
      <c r="G584" s="25">
        <v>2020</v>
      </c>
      <c r="H584" s="24">
        <v>62979.34</v>
      </c>
      <c r="I584" s="50">
        <v>0</v>
      </c>
      <c r="J584" s="58">
        <v>3210</v>
      </c>
      <c r="K584" s="24">
        <f>62979.34-62979.34</f>
        <v>0</v>
      </c>
      <c r="L584" s="35">
        <v>100</v>
      </c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>
        <f>62979.34-62979.34</f>
        <v>0</v>
      </c>
      <c r="Y584" s="118">
        <f t="shared" si="93"/>
        <v>0</v>
      </c>
      <c r="Z584" s="24"/>
      <c r="AA584" s="118">
        <f t="shared" si="84"/>
        <v>0</v>
      </c>
      <c r="AB584" s="118"/>
      <c r="AC584" s="24"/>
      <c r="AD584" s="118">
        <f t="shared" si="88"/>
        <v>0</v>
      </c>
    </row>
    <row r="585" spans="1:30" ht="46.5" hidden="1">
      <c r="A585" s="169"/>
      <c r="B585" s="169"/>
      <c r="C585" s="169"/>
      <c r="D585" s="166"/>
      <c r="E585" s="26" t="s">
        <v>363</v>
      </c>
      <c r="F585" s="96">
        <v>2410</v>
      </c>
      <c r="G585" s="25">
        <v>2020</v>
      </c>
      <c r="H585" s="24">
        <v>96467.92</v>
      </c>
      <c r="I585" s="50">
        <v>0</v>
      </c>
      <c r="J585" s="58">
        <v>3210</v>
      </c>
      <c r="K585" s="24">
        <f>96467.92-96467.92</f>
        <v>0</v>
      </c>
      <c r="L585" s="35">
        <v>100</v>
      </c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>
        <f>96467.92-96467.92</f>
        <v>0</v>
      </c>
      <c r="Y585" s="118">
        <f t="shared" si="93"/>
        <v>0</v>
      </c>
      <c r="Z585" s="24"/>
      <c r="AA585" s="118">
        <f t="shared" si="84"/>
        <v>0</v>
      </c>
      <c r="AB585" s="118"/>
      <c r="AC585" s="24"/>
      <c r="AD585" s="118">
        <f t="shared" si="88"/>
        <v>0</v>
      </c>
    </row>
    <row r="586" spans="1:30" ht="30.75">
      <c r="A586" s="169"/>
      <c r="B586" s="169"/>
      <c r="C586" s="169"/>
      <c r="D586" s="166"/>
      <c r="E586" s="19" t="s">
        <v>346</v>
      </c>
      <c r="F586" s="96">
        <v>2411</v>
      </c>
      <c r="G586" s="25" t="s">
        <v>201</v>
      </c>
      <c r="H586" s="24">
        <v>427618</v>
      </c>
      <c r="I586" s="20">
        <f>(K586/H586*100-100)*-1</f>
        <v>3.7515492799648342</v>
      </c>
      <c r="J586" s="58">
        <v>3210</v>
      </c>
      <c r="K586" s="20">
        <v>411575.7</v>
      </c>
      <c r="L586" s="35">
        <v>100</v>
      </c>
      <c r="M586" s="20"/>
      <c r="N586" s="20"/>
      <c r="O586" s="20">
        <f>211000</f>
        <v>211000</v>
      </c>
      <c r="P586" s="20"/>
      <c r="Q586" s="20"/>
      <c r="R586" s="20"/>
      <c r="S586" s="20"/>
      <c r="T586" s="20"/>
      <c r="U586" s="20"/>
      <c r="V586" s="20"/>
      <c r="W586" s="20"/>
      <c r="X586" s="20">
        <f>411575.7-211000</f>
        <v>200575.7</v>
      </c>
      <c r="Y586" s="118">
        <f t="shared" si="93"/>
        <v>0</v>
      </c>
      <c r="Z586" s="24"/>
      <c r="AA586" s="118">
        <f t="shared" si="84"/>
        <v>211000</v>
      </c>
      <c r="AB586" s="118"/>
      <c r="AC586" s="24"/>
      <c r="AD586" s="118">
        <f t="shared" si="88"/>
        <v>411575.7</v>
      </c>
    </row>
    <row r="587" spans="1:30" ht="20.25">
      <c r="A587" s="169"/>
      <c r="B587" s="169"/>
      <c r="C587" s="169"/>
      <c r="D587" s="166"/>
      <c r="E587" s="47" t="s">
        <v>124</v>
      </c>
      <c r="F587" s="135"/>
      <c r="G587" s="20"/>
      <c r="H587" s="21"/>
      <c r="I587" s="50"/>
      <c r="J587" s="58"/>
      <c r="K587" s="23">
        <f>SUM(K588:K596)</f>
        <v>16524472</v>
      </c>
      <c r="L587" s="23">
        <f aca="true" t="shared" si="94" ref="L587:X587">SUM(L588:L596)</f>
        <v>100</v>
      </c>
      <c r="M587" s="23">
        <f t="shared" si="94"/>
        <v>0</v>
      </c>
      <c r="N587" s="23">
        <f t="shared" si="94"/>
        <v>8519622</v>
      </c>
      <c r="O587" s="23">
        <f t="shared" si="94"/>
        <v>2550000</v>
      </c>
      <c r="P587" s="23">
        <f t="shared" si="94"/>
        <v>5019000</v>
      </c>
      <c r="Q587" s="23">
        <f t="shared" si="94"/>
        <v>201100</v>
      </c>
      <c r="R587" s="23">
        <f t="shared" si="94"/>
        <v>84750</v>
      </c>
      <c r="S587" s="23">
        <f t="shared" si="94"/>
        <v>150000</v>
      </c>
      <c r="T587" s="23">
        <f t="shared" si="94"/>
        <v>0</v>
      </c>
      <c r="U587" s="23">
        <f t="shared" si="94"/>
        <v>0</v>
      </c>
      <c r="V587" s="23">
        <f t="shared" si="94"/>
        <v>0</v>
      </c>
      <c r="W587" s="23">
        <f t="shared" si="94"/>
        <v>0</v>
      </c>
      <c r="X587" s="23">
        <f t="shared" si="94"/>
        <v>0</v>
      </c>
      <c r="Y587" s="118">
        <f t="shared" si="93"/>
        <v>0</v>
      </c>
      <c r="Z587" s="23">
        <f>SUM(Z588:Z596)</f>
        <v>16127674.8</v>
      </c>
      <c r="AA587" s="118">
        <f t="shared" si="84"/>
        <v>396797.19999999925</v>
      </c>
      <c r="AB587" s="118"/>
      <c r="AC587" s="24"/>
      <c r="AD587" s="118">
        <f t="shared" si="88"/>
        <v>396797.19999999925</v>
      </c>
    </row>
    <row r="588" spans="1:30" ht="21">
      <c r="A588" s="169"/>
      <c r="B588" s="169"/>
      <c r="C588" s="169"/>
      <c r="D588" s="166"/>
      <c r="E588" s="19" t="s">
        <v>366</v>
      </c>
      <c r="F588" s="96">
        <v>2412</v>
      </c>
      <c r="G588" s="25"/>
      <c r="H588" s="24"/>
      <c r="I588" s="50"/>
      <c r="J588" s="58">
        <v>3210</v>
      </c>
      <c r="K588" s="20">
        <f>10342100+20000</f>
        <v>10362100</v>
      </c>
      <c r="L588" s="35"/>
      <c r="M588" s="20"/>
      <c r="N588" s="20">
        <f>119000+4881000+2741000</f>
        <v>7741000</v>
      </c>
      <c r="O588" s="20">
        <v>2400000</v>
      </c>
      <c r="P588" s="20">
        <f>5000000-119000-4881000</f>
        <v>0</v>
      </c>
      <c r="Q588" s="20">
        <f>5342100-2741000-2400000</f>
        <v>201100</v>
      </c>
      <c r="R588" s="20">
        <v>20000</v>
      </c>
      <c r="S588" s="20">
        <f>-1359000+1359000</f>
        <v>0</v>
      </c>
      <c r="T588" s="20">
        <f>1359000-1359000</f>
        <v>0</v>
      </c>
      <c r="U588" s="20"/>
      <c r="V588" s="20"/>
      <c r="W588" s="20"/>
      <c r="X588" s="20"/>
      <c r="Y588" s="118">
        <f t="shared" si="93"/>
        <v>0</v>
      </c>
      <c r="Z588" s="20">
        <f>5817900+440004+2195600+1907757</f>
        <v>10361261</v>
      </c>
      <c r="AA588" s="118">
        <f t="shared" si="84"/>
        <v>839</v>
      </c>
      <c r="AB588" s="118"/>
      <c r="AC588" s="24"/>
      <c r="AD588" s="118">
        <f t="shared" si="88"/>
        <v>839</v>
      </c>
    </row>
    <row r="589" spans="1:30" ht="21" hidden="1">
      <c r="A589" s="169"/>
      <c r="B589" s="169"/>
      <c r="C589" s="169"/>
      <c r="D589" s="166"/>
      <c r="E589" s="26" t="s">
        <v>415</v>
      </c>
      <c r="F589" s="97">
        <v>2413</v>
      </c>
      <c r="G589" s="25"/>
      <c r="H589" s="24"/>
      <c r="I589" s="50"/>
      <c r="J589" s="58">
        <v>3210</v>
      </c>
      <c r="K589" s="24">
        <f>1000000-1000000</f>
        <v>0</v>
      </c>
      <c r="L589" s="35"/>
      <c r="M589" s="20"/>
      <c r="N589" s="20"/>
      <c r="O589" s="20"/>
      <c r="P589" s="20"/>
      <c r="Q589" s="20"/>
      <c r="R589" s="20"/>
      <c r="S589" s="20">
        <f>500000-500000</f>
        <v>0</v>
      </c>
      <c r="T589" s="20">
        <f>500000-500000</f>
        <v>0</v>
      </c>
      <c r="U589" s="20"/>
      <c r="V589" s="20"/>
      <c r="W589" s="20"/>
      <c r="X589" s="20"/>
      <c r="Y589" s="118">
        <f t="shared" si="93"/>
        <v>0</v>
      </c>
      <c r="Z589" s="20"/>
      <c r="AA589" s="118">
        <f t="shared" si="84"/>
        <v>0</v>
      </c>
      <c r="AB589" s="118"/>
      <c r="AC589" s="24"/>
      <c r="AD589" s="118">
        <f t="shared" si="88"/>
        <v>0</v>
      </c>
    </row>
    <row r="590" spans="1:30" ht="21">
      <c r="A590" s="169"/>
      <c r="B590" s="169"/>
      <c r="C590" s="169"/>
      <c r="D590" s="166"/>
      <c r="E590" s="26" t="s">
        <v>893</v>
      </c>
      <c r="F590" s="97">
        <v>2619</v>
      </c>
      <c r="G590" s="25"/>
      <c r="H590" s="24"/>
      <c r="I590" s="50"/>
      <c r="J590" s="58">
        <v>3210</v>
      </c>
      <c r="K590" s="24">
        <v>4900000</v>
      </c>
      <c r="L590" s="35"/>
      <c r="M590" s="20"/>
      <c r="N590" s="20"/>
      <c r="O590" s="20"/>
      <c r="P590" s="20">
        <v>4900000</v>
      </c>
      <c r="Q590" s="20"/>
      <c r="R590" s="20"/>
      <c r="S590" s="20"/>
      <c r="T590" s="20">
        <f>465195-465195</f>
        <v>0</v>
      </c>
      <c r="U590" s="20">
        <f>1108690-1108690</f>
        <v>0</v>
      </c>
      <c r="V590" s="20">
        <f>1108690-1108690</f>
        <v>0</v>
      </c>
      <c r="W590" s="20">
        <f>1108690-1108690</f>
        <v>0</v>
      </c>
      <c r="X590" s="20">
        <f>1108735-1108735</f>
        <v>0</v>
      </c>
      <c r="Y590" s="118">
        <f t="shared" si="93"/>
        <v>0</v>
      </c>
      <c r="Z590" s="20">
        <v>4900000</v>
      </c>
      <c r="AA590" s="118">
        <f t="shared" si="84"/>
        <v>0</v>
      </c>
      <c r="AB590" s="118"/>
      <c r="AC590" s="24"/>
      <c r="AD590" s="118">
        <f t="shared" si="88"/>
        <v>0</v>
      </c>
    </row>
    <row r="591" spans="1:30" ht="21">
      <c r="A591" s="169"/>
      <c r="B591" s="169"/>
      <c r="C591" s="169"/>
      <c r="D591" s="166"/>
      <c r="E591" s="26" t="s">
        <v>918</v>
      </c>
      <c r="F591" s="97">
        <v>2620</v>
      </c>
      <c r="G591" s="25"/>
      <c r="H591" s="24"/>
      <c r="I591" s="50"/>
      <c r="J591" s="58">
        <v>3210</v>
      </c>
      <c r="K591" s="24">
        <v>150000</v>
      </c>
      <c r="L591" s="35"/>
      <c r="M591" s="20"/>
      <c r="N591" s="20"/>
      <c r="O591" s="20">
        <v>150000</v>
      </c>
      <c r="P591" s="20"/>
      <c r="Q591" s="20"/>
      <c r="R591" s="20"/>
      <c r="S591" s="20"/>
      <c r="T591" s="20"/>
      <c r="U591" s="20"/>
      <c r="V591" s="20"/>
      <c r="W591" s="20"/>
      <c r="X591" s="20"/>
      <c r="Y591" s="118">
        <f t="shared" si="93"/>
        <v>0</v>
      </c>
      <c r="Z591" s="20">
        <v>150000</v>
      </c>
      <c r="AA591" s="118">
        <f t="shared" si="84"/>
        <v>0</v>
      </c>
      <c r="AB591" s="118"/>
      <c r="AC591" s="24"/>
      <c r="AD591" s="118">
        <f t="shared" si="88"/>
        <v>0</v>
      </c>
    </row>
    <row r="592" spans="1:30" ht="21">
      <c r="A592" s="169"/>
      <c r="B592" s="169"/>
      <c r="C592" s="169"/>
      <c r="D592" s="166"/>
      <c r="E592" s="26" t="s">
        <v>916</v>
      </c>
      <c r="F592" s="97">
        <v>2630</v>
      </c>
      <c r="G592" s="25"/>
      <c r="H592" s="24"/>
      <c r="I592" s="50"/>
      <c r="J592" s="58">
        <v>3210</v>
      </c>
      <c r="K592" s="24">
        <v>40000</v>
      </c>
      <c r="L592" s="35"/>
      <c r="M592" s="20"/>
      <c r="N592" s="20"/>
      <c r="O592" s="20"/>
      <c r="P592" s="20"/>
      <c r="Q592" s="20"/>
      <c r="R592" s="20">
        <v>40000</v>
      </c>
      <c r="S592" s="20"/>
      <c r="T592" s="20"/>
      <c r="U592" s="20"/>
      <c r="V592" s="20"/>
      <c r="W592" s="20"/>
      <c r="X592" s="20"/>
      <c r="Y592" s="118">
        <f t="shared" si="93"/>
        <v>0</v>
      </c>
      <c r="Z592" s="20"/>
      <c r="AA592" s="118">
        <f t="shared" si="84"/>
        <v>40000</v>
      </c>
      <c r="AB592" s="118"/>
      <c r="AC592" s="24"/>
      <c r="AD592" s="118">
        <f t="shared" si="88"/>
        <v>40000</v>
      </c>
    </row>
    <row r="593" spans="1:30" ht="21">
      <c r="A593" s="169"/>
      <c r="B593" s="169"/>
      <c r="C593" s="169"/>
      <c r="D593" s="166"/>
      <c r="E593" s="26" t="s">
        <v>917</v>
      </c>
      <c r="F593" s="97">
        <v>2631</v>
      </c>
      <c r="G593" s="25"/>
      <c r="H593" s="24"/>
      <c r="I593" s="50"/>
      <c r="J593" s="58">
        <v>3210</v>
      </c>
      <c r="K593" s="24">
        <v>17316</v>
      </c>
      <c r="L593" s="35"/>
      <c r="M593" s="20"/>
      <c r="N593" s="20"/>
      <c r="O593" s="20"/>
      <c r="P593" s="20"/>
      <c r="Q593" s="20"/>
      <c r="R593" s="20">
        <v>17316</v>
      </c>
      <c r="S593" s="20"/>
      <c r="T593" s="20"/>
      <c r="U593" s="20"/>
      <c r="V593" s="20"/>
      <c r="W593" s="20"/>
      <c r="X593" s="20"/>
      <c r="Y593" s="118">
        <f t="shared" si="93"/>
        <v>0</v>
      </c>
      <c r="Z593" s="20"/>
      <c r="AA593" s="118">
        <f t="shared" si="84"/>
        <v>17316</v>
      </c>
      <c r="AB593" s="118"/>
      <c r="AC593" s="24"/>
      <c r="AD593" s="118">
        <f t="shared" si="88"/>
        <v>17316</v>
      </c>
    </row>
    <row r="594" spans="1:30" ht="21">
      <c r="A594" s="169"/>
      <c r="B594" s="169"/>
      <c r="C594" s="169"/>
      <c r="D594" s="166"/>
      <c r="E594" s="26" t="s">
        <v>364</v>
      </c>
      <c r="F594" s="97">
        <v>2414</v>
      </c>
      <c r="G594" s="25"/>
      <c r="H594" s="24"/>
      <c r="I594" s="50"/>
      <c r="J594" s="58">
        <v>3210</v>
      </c>
      <c r="K594" s="24">
        <f>897622-376.8-20000</f>
        <v>877245.2</v>
      </c>
      <c r="L594" s="35"/>
      <c r="M594" s="20"/>
      <c r="N594" s="20">
        <f>897622-119000-376.8</f>
        <v>778245.2</v>
      </c>
      <c r="O594" s="20"/>
      <c r="P594" s="20">
        <v>119000</v>
      </c>
      <c r="Q594" s="20"/>
      <c r="R594" s="20">
        <v>-20000</v>
      </c>
      <c r="S594" s="20"/>
      <c r="T594" s="20"/>
      <c r="U594" s="20"/>
      <c r="V594" s="20"/>
      <c r="W594" s="20"/>
      <c r="X594" s="20"/>
      <c r="Y594" s="118">
        <f t="shared" si="93"/>
        <v>0</v>
      </c>
      <c r="Z594" s="20">
        <f>688603</f>
        <v>688603</v>
      </c>
      <c r="AA594" s="118">
        <f t="shared" si="84"/>
        <v>188642.19999999995</v>
      </c>
      <c r="AB594" s="118"/>
      <c r="AC594" s="24"/>
      <c r="AD594" s="118">
        <f t="shared" si="88"/>
        <v>188642.19999999995</v>
      </c>
    </row>
    <row r="595" spans="1:30" ht="46.5">
      <c r="A595" s="169"/>
      <c r="B595" s="169"/>
      <c r="C595" s="169"/>
      <c r="D595" s="166"/>
      <c r="E595" s="26" t="s">
        <v>892</v>
      </c>
      <c r="F595" s="97">
        <v>2618</v>
      </c>
      <c r="G595" s="25"/>
      <c r="H595" s="24"/>
      <c r="I595" s="50"/>
      <c r="J595" s="58">
        <v>3210</v>
      </c>
      <c r="K595" s="24">
        <v>150000</v>
      </c>
      <c r="L595" s="35"/>
      <c r="M595" s="20"/>
      <c r="N595" s="20"/>
      <c r="O595" s="20"/>
      <c r="P595" s="20"/>
      <c r="Q595" s="20"/>
      <c r="R595" s="20"/>
      <c r="S595" s="20">
        <v>150000</v>
      </c>
      <c r="T595" s="20"/>
      <c r="U595" s="20"/>
      <c r="V595" s="20"/>
      <c r="W595" s="20"/>
      <c r="X595" s="20"/>
      <c r="Y595" s="118">
        <f t="shared" si="93"/>
        <v>0</v>
      </c>
      <c r="Z595" s="20"/>
      <c r="AA595" s="118">
        <f aca="true" t="shared" si="95" ref="AA595:AA658">M595+N595+O595+P595+Q595+R595+S595-Z595</f>
        <v>150000</v>
      </c>
      <c r="AB595" s="118"/>
      <c r="AC595" s="24"/>
      <c r="AD595" s="118">
        <f t="shared" si="88"/>
        <v>150000</v>
      </c>
    </row>
    <row r="596" spans="1:30" ht="30.75">
      <c r="A596" s="169"/>
      <c r="B596" s="169"/>
      <c r="C596" s="169"/>
      <c r="D596" s="166"/>
      <c r="E596" s="26" t="s">
        <v>365</v>
      </c>
      <c r="F596" s="97">
        <v>2415</v>
      </c>
      <c r="G596" s="25" t="s">
        <v>197</v>
      </c>
      <c r="H596" s="24">
        <v>1123531</v>
      </c>
      <c r="I596" s="20">
        <f>(K596/H596*100-100)*-1</f>
        <v>97.52469669283714</v>
      </c>
      <c r="J596" s="58">
        <v>3210</v>
      </c>
      <c r="K596" s="24">
        <f>27434+376.8</f>
        <v>27810.8</v>
      </c>
      <c r="L596" s="35">
        <v>100</v>
      </c>
      <c r="M596" s="20"/>
      <c r="N596" s="20">
        <f>376.8</f>
        <v>376.8</v>
      </c>
      <c r="O596" s="20"/>
      <c r="P596" s="20"/>
      <c r="Q596" s="20"/>
      <c r="R596" s="20">
        <v>27434</v>
      </c>
      <c r="S596" s="20"/>
      <c r="T596" s="20"/>
      <c r="U596" s="20"/>
      <c r="V596" s="20"/>
      <c r="W596" s="20"/>
      <c r="X596" s="20"/>
      <c r="Y596" s="118">
        <f t="shared" si="93"/>
        <v>0</v>
      </c>
      <c r="Z596" s="20">
        <v>27810.8</v>
      </c>
      <c r="AA596" s="118">
        <f t="shared" si="95"/>
        <v>0</v>
      </c>
      <c r="AB596" s="118"/>
      <c r="AC596" s="24"/>
      <c r="AD596" s="118">
        <f t="shared" si="88"/>
        <v>0</v>
      </c>
    </row>
    <row r="597" spans="1:30" ht="20.25">
      <c r="A597" s="169"/>
      <c r="B597" s="169"/>
      <c r="C597" s="169"/>
      <c r="D597" s="166"/>
      <c r="E597" s="47" t="s">
        <v>125</v>
      </c>
      <c r="F597" s="135"/>
      <c r="G597" s="20"/>
      <c r="H597" s="21"/>
      <c r="I597" s="50"/>
      <c r="J597" s="58"/>
      <c r="K597" s="23">
        <f>SUM(K598:K652)</f>
        <v>27717644.55</v>
      </c>
      <c r="L597" s="23">
        <f aca="true" t="shared" si="96" ref="L597:X597">SUM(L598:L652)</f>
        <v>5500</v>
      </c>
      <c r="M597" s="23">
        <f t="shared" si="96"/>
        <v>0</v>
      </c>
      <c r="N597" s="23">
        <f t="shared" si="96"/>
        <v>2472859.55</v>
      </c>
      <c r="O597" s="23">
        <f t="shared" si="96"/>
        <v>0</v>
      </c>
      <c r="P597" s="23">
        <f t="shared" si="96"/>
        <v>1191409.91</v>
      </c>
      <c r="Q597" s="23">
        <f t="shared" si="96"/>
        <v>74046</v>
      </c>
      <c r="R597" s="23">
        <f t="shared" si="96"/>
        <v>2156507.03</v>
      </c>
      <c r="S597" s="23">
        <f t="shared" si="96"/>
        <v>5161264.34</v>
      </c>
      <c r="T597" s="23">
        <f t="shared" si="96"/>
        <v>375000.00000000023</v>
      </c>
      <c r="U597" s="23">
        <f t="shared" si="96"/>
        <v>0</v>
      </c>
      <c r="V597" s="23">
        <f t="shared" si="96"/>
        <v>5503234.829999999</v>
      </c>
      <c r="W597" s="23">
        <f t="shared" si="96"/>
        <v>6956947.869999999</v>
      </c>
      <c r="X597" s="23">
        <f t="shared" si="96"/>
        <v>3826375.02</v>
      </c>
      <c r="Y597" s="118">
        <f t="shared" si="93"/>
        <v>0</v>
      </c>
      <c r="Z597" s="23">
        <f>SUM(Z598:Z652)</f>
        <v>10796870.92</v>
      </c>
      <c r="AA597" s="118">
        <f t="shared" si="95"/>
        <v>259215.91000000015</v>
      </c>
      <c r="AB597" s="118"/>
      <c r="AC597" s="24"/>
      <c r="AD597" s="118">
        <f t="shared" si="88"/>
        <v>16920773.630000003</v>
      </c>
    </row>
    <row r="598" spans="1:30" ht="46.5">
      <c r="A598" s="169"/>
      <c r="B598" s="169"/>
      <c r="C598" s="169"/>
      <c r="D598" s="166"/>
      <c r="E598" s="63" t="s">
        <v>384</v>
      </c>
      <c r="F598" s="97">
        <v>2416</v>
      </c>
      <c r="G598" s="25">
        <v>2020</v>
      </c>
      <c r="H598" s="24">
        <v>106763.8</v>
      </c>
      <c r="I598" s="50">
        <v>0</v>
      </c>
      <c r="J598" s="58">
        <v>3210</v>
      </c>
      <c r="K598" s="24">
        <v>106763.8</v>
      </c>
      <c r="L598" s="35">
        <v>100</v>
      </c>
      <c r="M598" s="20"/>
      <c r="N598" s="20">
        <v>106763.8</v>
      </c>
      <c r="O598" s="20"/>
      <c r="P598" s="20">
        <f>10000-10000</f>
        <v>0</v>
      </c>
      <c r="Q598" s="20"/>
      <c r="R598" s="20"/>
      <c r="S598" s="20"/>
      <c r="T598" s="20">
        <f>96763.8-96763.8</f>
        <v>0</v>
      </c>
      <c r="U598" s="20"/>
      <c r="V598" s="20"/>
      <c r="W598" s="20"/>
      <c r="X598" s="20"/>
      <c r="Y598" s="118">
        <f t="shared" si="93"/>
        <v>0</v>
      </c>
      <c r="Z598" s="24">
        <v>106763.8</v>
      </c>
      <c r="AA598" s="118">
        <f t="shared" si="95"/>
        <v>0</v>
      </c>
      <c r="AB598" s="118"/>
      <c r="AC598" s="24"/>
      <c r="AD598" s="118">
        <f t="shared" si="88"/>
        <v>0</v>
      </c>
    </row>
    <row r="599" spans="1:30" ht="46.5">
      <c r="A599" s="169"/>
      <c r="B599" s="169"/>
      <c r="C599" s="169"/>
      <c r="D599" s="166"/>
      <c r="E599" s="26" t="s">
        <v>724</v>
      </c>
      <c r="F599" s="97">
        <v>2417</v>
      </c>
      <c r="G599" s="25">
        <v>2020</v>
      </c>
      <c r="H599" s="24">
        <v>90000</v>
      </c>
      <c r="I599" s="50">
        <v>0</v>
      </c>
      <c r="J599" s="58">
        <v>3210</v>
      </c>
      <c r="K599" s="24">
        <f>90000-60000</f>
        <v>30000</v>
      </c>
      <c r="L599" s="35">
        <v>100</v>
      </c>
      <c r="M599" s="20"/>
      <c r="N599" s="20"/>
      <c r="O599" s="20"/>
      <c r="P599" s="20">
        <f>10000-117.26</f>
        <v>9882.74</v>
      </c>
      <c r="Q599" s="20"/>
      <c r="R599" s="20"/>
      <c r="S599" s="20"/>
      <c r="T599" s="20">
        <f>80000-60000+117.26</f>
        <v>20117.26</v>
      </c>
      <c r="U599" s="20"/>
      <c r="V599" s="20"/>
      <c r="W599" s="20"/>
      <c r="X599" s="20"/>
      <c r="Y599" s="118">
        <f t="shared" si="93"/>
        <v>3.637978807091713E-12</v>
      </c>
      <c r="Z599" s="24">
        <v>9882.74</v>
      </c>
      <c r="AA599" s="118">
        <f t="shared" si="95"/>
        <v>0</v>
      </c>
      <c r="AB599" s="118"/>
      <c r="AC599" s="24"/>
      <c r="AD599" s="118">
        <f t="shared" si="88"/>
        <v>20117.260000000002</v>
      </c>
    </row>
    <row r="600" spans="1:30" ht="46.5">
      <c r="A600" s="169"/>
      <c r="B600" s="169"/>
      <c r="C600" s="169"/>
      <c r="D600" s="166"/>
      <c r="E600" s="63" t="s">
        <v>383</v>
      </c>
      <c r="F600" s="97">
        <v>2418</v>
      </c>
      <c r="G600" s="25">
        <v>2020</v>
      </c>
      <c r="H600" s="24">
        <v>203310.64</v>
      </c>
      <c r="I600" s="50">
        <v>0</v>
      </c>
      <c r="J600" s="58">
        <v>3210</v>
      </c>
      <c r="K600" s="24">
        <v>203310.64</v>
      </c>
      <c r="L600" s="35">
        <v>100</v>
      </c>
      <c r="M600" s="20"/>
      <c r="N600" s="20">
        <v>203310.64</v>
      </c>
      <c r="O600" s="20"/>
      <c r="P600" s="20">
        <f>15000-15000</f>
        <v>0</v>
      </c>
      <c r="Q600" s="20"/>
      <c r="R600" s="20"/>
      <c r="S600" s="20"/>
      <c r="T600" s="20">
        <f>188310.64-188310.64</f>
        <v>0</v>
      </c>
      <c r="U600" s="20"/>
      <c r="V600" s="20"/>
      <c r="W600" s="20"/>
      <c r="X600" s="20"/>
      <c r="Y600" s="118">
        <f t="shared" si="93"/>
        <v>0</v>
      </c>
      <c r="Z600" s="24">
        <v>203310.64</v>
      </c>
      <c r="AA600" s="118">
        <f t="shared" si="95"/>
        <v>0</v>
      </c>
      <c r="AB600" s="118"/>
      <c r="AC600" s="24"/>
      <c r="AD600" s="118">
        <f t="shared" si="88"/>
        <v>0</v>
      </c>
    </row>
    <row r="601" spans="1:30" ht="46.5">
      <c r="A601" s="169"/>
      <c r="B601" s="169"/>
      <c r="C601" s="169"/>
      <c r="D601" s="166"/>
      <c r="E601" s="26" t="s">
        <v>725</v>
      </c>
      <c r="F601" s="97">
        <v>2419</v>
      </c>
      <c r="G601" s="25">
        <v>2020</v>
      </c>
      <c r="H601" s="24">
        <v>90000</v>
      </c>
      <c r="I601" s="50">
        <v>0</v>
      </c>
      <c r="J601" s="58">
        <v>3210</v>
      </c>
      <c r="K601" s="24">
        <v>90000</v>
      </c>
      <c r="L601" s="35">
        <v>100</v>
      </c>
      <c r="M601" s="20"/>
      <c r="N601" s="20"/>
      <c r="O601" s="20"/>
      <c r="P601" s="20">
        <f>10000-296.9</f>
        <v>9703.1</v>
      </c>
      <c r="Q601" s="20"/>
      <c r="R601" s="20"/>
      <c r="S601" s="20"/>
      <c r="T601" s="20">
        <f>80000+296.9</f>
        <v>80296.9</v>
      </c>
      <c r="U601" s="20"/>
      <c r="V601" s="20"/>
      <c r="W601" s="20"/>
      <c r="X601" s="20"/>
      <c r="Y601" s="118">
        <f t="shared" si="93"/>
        <v>0</v>
      </c>
      <c r="Z601" s="24">
        <v>9703.1</v>
      </c>
      <c r="AA601" s="118">
        <f t="shared" si="95"/>
        <v>0</v>
      </c>
      <c r="AB601" s="118"/>
      <c r="AC601" s="24"/>
      <c r="AD601" s="118">
        <f t="shared" si="88"/>
        <v>80296.9</v>
      </c>
    </row>
    <row r="602" spans="1:30" ht="46.5">
      <c r="A602" s="169"/>
      <c r="B602" s="169"/>
      <c r="C602" s="169"/>
      <c r="D602" s="166"/>
      <c r="E602" s="26" t="s">
        <v>726</v>
      </c>
      <c r="F602" s="97">
        <v>2420</v>
      </c>
      <c r="G602" s="25">
        <v>2020</v>
      </c>
      <c r="H602" s="24">
        <v>175000</v>
      </c>
      <c r="I602" s="50">
        <v>0</v>
      </c>
      <c r="J602" s="58">
        <v>3210</v>
      </c>
      <c r="K602" s="24">
        <f>175000-125000</f>
        <v>50000</v>
      </c>
      <c r="L602" s="35">
        <v>100</v>
      </c>
      <c r="M602" s="20"/>
      <c r="N602" s="20"/>
      <c r="O602" s="20"/>
      <c r="P602" s="20">
        <f>15000-1144.48</f>
        <v>13855.52</v>
      </c>
      <c r="Q602" s="20"/>
      <c r="R602" s="20"/>
      <c r="S602" s="20"/>
      <c r="T602" s="20">
        <f>160000-125000+1144.48</f>
        <v>36144.48</v>
      </c>
      <c r="U602" s="20"/>
      <c r="V602" s="20"/>
      <c r="W602" s="20"/>
      <c r="X602" s="20"/>
      <c r="Y602" s="118">
        <f t="shared" si="93"/>
        <v>-7.275957614183426E-12</v>
      </c>
      <c r="Z602" s="24">
        <v>13855.52</v>
      </c>
      <c r="AA602" s="118">
        <f t="shared" si="95"/>
        <v>0</v>
      </c>
      <c r="AB602" s="118"/>
      <c r="AC602" s="24"/>
      <c r="AD602" s="118">
        <f t="shared" si="88"/>
        <v>36144.479999999996</v>
      </c>
    </row>
    <row r="603" spans="1:30" ht="46.5">
      <c r="A603" s="169"/>
      <c r="B603" s="169"/>
      <c r="C603" s="169"/>
      <c r="D603" s="166"/>
      <c r="E603" s="26" t="s">
        <v>727</v>
      </c>
      <c r="F603" s="97">
        <v>2421</v>
      </c>
      <c r="G603" s="25">
        <v>2020</v>
      </c>
      <c r="H603" s="24">
        <v>320000</v>
      </c>
      <c r="I603" s="50">
        <v>0</v>
      </c>
      <c r="J603" s="58">
        <v>3210</v>
      </c>
      <c r="K603" s="24">
        <f>320000-280000</f>
        <v>40000</v>
      </c>
      <c r="L603" s="35">
        <v>100</v>
      </c>
      <c r="M603" s="20"/>
      <c r="N603" s="20"/>
      <c r="O603" s="20"/>
      <c r="P603" s="20">
        <f>20000+2656.14</f>
        <v>22656.14</v>
      </c>
      <c r="Q603" s="20"/>
      <c r="R603" s="20"/>
      <c r="S603" s="20"/>
      <c r="T603" s="20">
        <f>300000-280000-2656.14</f>
        <v>17343.86</v>
      </c>
      <c r="U603" s="20"/>
      <c r="V603" s="20"/>
      <c r="W603" s="20"/>
      <c r="X603" s="20"/>
      <c r="Y603" s="118">
        <f t="shared" si="93"/>
        <v>0</v>
      </c>
      <c r="Z603" s="24">
        <v>22656.14</v>
      </c>
      <c r="AA603" s="118">
        <f t="shared" si="95"/>
        <v>0</v>
      </c>
      <c r="AB603" s="118"/>
      <c r="AC603" s="24"/>
      <c r="AD603" s="118">
        <f t="shared" si="88"/>
        <v>17343.86</v>
      </c>
    </row>
    <row r="604" spans="1:30" ht="46.5">
      <c r="A604" s="169"/>
      <c r="B604" s="169"/>
      <c r="C604" s="169"/>
      <c r="D604" s="166"/>
      <c r="E604" s="26" t="s">
        <v>728</v>
      </c>
      <c r="F604" s="97">
        <v>2422</v>
      </c>
      <c r="G604" s="25">
        <v>2020</v>
      </c>
      <c r="H604" s="24">
        <v>125000</v>
      </c>
      <c r="I604" s="50">
        <v>0</v>
      </c>
      <c r="J604" s="58">
        <v>3210</v>
      </c>
      <c r="K604" s="24">
        <v>125000</v>
      </c>
      <c r="L604" s="35">
        <v>100</v>
      </c>
      <c r="M604" s="20"/>
      <c r="N604" s="20"/>
      <c r="O604" s="20"/>
      <c r="P604" s="20">
        <f>10000+1987.96</f>
        <v>11987.96</v>
      </c>
      <c r="Q604" s="20"/>
      <c r="R604" s="20"/>
      <c r="S604" s="20"/>
      <c r="T604" s="20">
        <f>115000-1987.96</f>
        <v>113012.04</v>
      </c>
      <c r="U604" s="20"/>
      <c r="V604" s="20"/>
      <c r="W604" s="20"/>
      <c r="X604" s="20"/>
      <c r="Y604" s="118">
        <f t="shared" si="93"/>
        <v>1.4551915228366852E-11</v>
      </c>
      <c r="Z604" s="24">
        <v>11987.96</v>
      </c>
      <c r="AA604" s="118">
        <f t="shared" si="95"/>
        <v>0</v>
      </c>
      <c r="AB604" s="118"/>
      <c r="AC604" s="24"/>
      <c r="AD604" s="118">
        <f t="shared" si="88"/>
        <v>113012.04000000001</v>
      </c>
    </row>
    <row r="605" spans="1:30" ht="46.5">
      <c r="A605" s="169"/>
      <c r="B605" s="169"/>
      <c r="C605" s="169"/>
      <c r="D605" s="166"/>
      <c r="E605" s="26" t="s">
        <v>393</v>
      </c>
      <c r="F605" s="97">
        <v>2423</v>
      </c>
      <c r="G605" s="25">
        <v>2020</v>
      </c>
      <c r="H605" s="24">
        <v>90000</v>
      </c>
      <c r="I605" s="50">
        <v>0</v>
      </c>
      <c r="J605" s="58">
        <v>3210</v>
      </c>
      <c r="K605" s="24">
        <v>90000</v>
      </c>
      <c r="L605" s="35">
        <v>100</v>
      </c>
      <c r="M605" s="20"/>
      <c r="N605" s="20"/>
      <c r="O605" s="20"/>
      <c r="P605" s="20">
        <f>10000-332.96</f>
        <v>9667.04</v>
      </c>
      <c r="Q605" s="20"/>
      <c r="R605" s="20"/>
      <c r="S605" s="20"/>
      <c r="T605" s="20">
        <f>80000+332.96</f>
        <v>80332.96</v>
      </c>
      <c r="U605" s="20"/>
      <c r="V605" s="20"/>
      <c r="W605" s="20"/>
      <c r="X605" s="20"/>
      <c r="Y605" s="118">
        <f t="shared" si="93"/>
        <v>-1.4551915228366852E-11</v>
      </c>
      <c r="Z605" s="24">
        <v>9667.04</v>
      </c>
      <c r="AA605" s="118">
        <f t="shared" si="95"/>
        <v>0</v>
      </c>
      <c r="AB605" s="118"/>
      <c r="AC605" s="24"/>
      <c r="AD605" s="118">
        <f t="shared" si="88"/>
        <v>80332.95999999999</v>
      </c>
    </row>
    <row r="606" spans="1:30" ht="46.5">
      <c r="A606" s="169"/>
      <c r="B606" s="169"/>
      <c r="C606" s="169"/>
      <c r="D606" s="166"/>
      <c r="E606" s="26" t="s">
        <v>729</v>
      </c>
      <c r="F606" s="97">
        <v>2424</v>
      </c>
      <c r="G606" s="25">
        <v>2020</v>
      </c>
      <c r="H606" s="24">
        <v>245000</v>
      </c>
      <c r="I606" s="50">
        <v>0</v>
      </c>
      <c r="J606" s="58">
        <v>3210</v>
      </c>
      <c r="K606" s="24">
        <f>245000-200000</f>
        <v>45000</v>
      </c>
      <c r="L606" s="35">
        <v>100</v>
      </c>
      <c r="M606" s="20"/>
      <c r="N606" s="20"/>
      <c r="O606" s="20"/>
      <c r="P606" s="20">
        <f>20000-1841.19</f>
        <v>18158.81</v>
      </c>
      <c r="Q606" s="20"/>
      <c r="R606" s="20"/>
      <c r="S606" s="20"/>
      <c r="T606" s="20">
        <f>225000-200000+1841.19</f>
        <v>26841.19</v>
      </c>
      <c r="U606" s="20"/>
      <c r="V606" s="20"/>
      <c r="W606" s="20"/>
      <c r="X606" s="20"/>
      <c r="Y606" s="118">
        <f t="shared" si="93"/>
        <v>0</v>
      </c>
      <c r="Z606" s="24">
        <v>18158.81</v>
      </c>
      <c r="AA606" s="118">
        <f t="shared" si="95"/>
        <v>0</v>
      </c>
      <c r="AB606" s="118"/>
      <c r="AC606" s="24"/>
      <c r="AD606" s="118">
        <f t="shared" si="88"/>
        <v>26841.19</v>
      </c>
    </row>
    <row r="607" spans="1:30" ht="30.75">
      <c r="A607" s="169"/>
      <c r="B607" s="169"/>
      <c r="C607" s="169"/>
      <c r="D607" s="166"/>
      <c r="E607" s="100" t="s">
        <v>404</v>
      </c>
      <c r="F607" s="97">
        <v>2425</v>
      </c>
      <c r="G607" s="25">
        <v>2020</v>
      </c>
      <c r="H607" s="24">
        <v>6312000</v>
      </c>
      <c r="I607" s="50">
        <v>0</v>
      </c>
      <c r="J607" s="58">
        <v>3210</v>
      </c>
      <c r="K607" s="24">
        <f>6312000+728000-6300000</f>
        <v>740000</v>
      </c>
      <c r="L607" s="35">
        <v>100</v>
      </c>
      <c r="M607" s="20"/>
      <c r="N607" s="20"/>
      <c r="O607" s="20"/>
      <c r="P607" s="20">
        <f>1000000-260000-99402.06</f>
        <v>640597.94</v>
      </c>
      <c r="Q607" s="20">
        <f>350000-350000</f>
        <v>0</v>
      </c>
      <c r="R607" s="20"/>
      <c r="S607" s="20">
        <f>72425.2</f>
        <v>72425.2</v>
      </c>
      <c r="T607" s="20">
        <f>2277494.66-1000000-1277494.66+911.31</f>
        <v>911.3100000002328</v>
      </c>
      <c r="U607" s="20">
        <f>4123594.52-4123594.52</f>
        <v>0</v>
      </c>
      <c r="V607" s="20">
        <f>288910.82-288910.82+26065.55</f>
        <v>26065.55</v>
      </c>
      <c r="W607" s="20"/>
      <c r="X607" s="20"/>
      <c r="Y607" s="118">
        <f t="shared" si="93"/>
        <v>-1.7462298274040222E-10</v>
      </c>
      <c r="Z607" s="24">
        <v>638019.61</v>
      </c>
      <c r="AA607" s="118">
        <f t="shared" si="95"/>
        <v>75003.52999999991</v>
      </c>
      <c r="AB607" s="118"/>
      <c r="AC607" s="24"/>
      <c r="AD607" s="118">
        <f t="shared" si="88"/>
        <v>101980.39000000001</v>
      </c>
    </row>
    <row r="608" spans="1:30" ht="30.75">
      <c r="A608" s="169"/>
      <c r="B608" s="169"/>
      <c r="C608" s="169"/>
      <c r="D608" s="166"/>
      <c r="E608" s="19" t="s">
        <v>390</v>
      </c>
      <c r="F608" s="97">
        <v>2426</v>
      </c>
      <c r="G608" s="25">
        <v>2020</v>
      </c>
      <c r="H608" s="20">
        <v>850000</v>
      </c>
      <c r="I608" s="50">
        <v>0</v>
      </c>
      <c r="J608" s="58">
        <v>3210</v>
      </c>
      <c r="K608" s="20">
        <v>850000</v>
      </c>
      <c r="L608" s="35">
        <v>100</v>
      </c>
      <c r="M608" s="20"/>
      <c r="N608" s="20"/>
      <c r="O608" s="20"/>
      <c r="P608" s="20">
        <f>40000-13234.29</f>
        <v>26765.71</v>
      </c>
      <c r="Q608" s="20"/>
      <c r="R608" s="20"/>
      <c r="S608" s="20"/>
      <c r="T608" s="20"/>
      <c r="U608" s="20"/>
      <c r="V608" s="20">
        <f>810000+13234.29</f>
        <v>823234.29</v>
      </c>
      <c r="W608" s="20"/>
      <c r="X608" s="20"/>
      <c r="Y608" s="118">
        <f t="shared" si="93"/>
        <v>0</v>
      </c>
      <c r="Z608" s="24">
        <v>26765.71</v>
      </c>
      <c r="AA608" s="118">
        <f t="shared" si="95"/>
        <v>0</v>
      </c>
      <c r="AB608" s="118"/>
      <c r="AC608" s="24">
        <v>-482988</v>
      </c>
      <c r="AD608" s="118">
        <f aca="true" t="shared" si="97" ref="AD608:AD671">K608-Z608+AC608-AB608</f>
        <v>340246.29000000004</v>
      </c>
    </row>
    <row r="609" spans="1:30" ht="46.5">
      <c r="A609" s="169"/>
      <c r="B609" s="169"/>
      <c r="C609" s="169"/>
      <c r="D609" s="166"/>
      <c r="E609" s="26" t="s">
        <v>398</v>
      </c>
      <c r="F609" s="97">
        <v>2427</v>
      </c>
      <c r="G609" s="25">
        <v>2020</v>
      </c>
      <c r="H609" s="24">
        <v>95100</v>
      </c>
      <c r="I609" s="50">
        <v>0</v>
      </c>
      <c r="J609" s="58">
        <v>3210</v>
      </c>
      <c r="K609" s="24">
        <f>95100-65000</f>
        <v>30100</v>
      </c>
      <c r="L609" s="35">
        <v>100</v>
      </c>
      <c r="M609" s="20"/>
      <c r="N609" s="20"/>
      <c r="O609" s="20"/>
      <c r="P609" s="20">
        <f>10000+532.74</f>
        <v>10532.74</v>
      </c>
      <c r="Q609" s="20"/>
      <c r="R609" s="20"/>
      <c r="S609" s="20"/>
      <c r="T609" s="20"/>
      <c r="U609" s="20"/>
      <c r="V609" s="20">
        <f>85100-65000-532.74</f>
        <v>19567.26</v>
      </c>
      <c r="W609" s="20"/>
      <c r="X609" s="20"/>
      <c r="Y609" s="118">
        <f t="shared" si="93"/>
        <v>3.637978807091713E-12</v>
      </c>
      <c r="Z609" s="24">
        <f>10532.74</f>
        <v>10532.74</v>
      </c>
      <c r="AA609" s="118">
        <f t="shared" si="95"/>
        <v>0</v>
      </c>
      <c r="AB609" s="118"/>
      <c r="AC609" s="24"/>
      <c r="AD609" s="118">
        <f t="shared" si="97"/>
        <v>19567.260000000002</v>
      </c>
    </row>
    <row r="610" spans="1:30" ht="46.5">
      <c r="A610" s="169"/>
      <c r="B610" s="169"/>
      <c r="C610" s="169"/>
      <c r="D610" s="166"/>
      <c r="E610" s="26" t="s">
        <v>396</v>
      </c>
      <c r="F610" s="97">
        <v>2428</v>
      </c>
      <c r="G610" s="25">
        <v>2020</v>
      </c>
      <c r="H610" s="24">
        <v>343600</v>
      </c>
      <c r="I610" s="50">
        <v>0</v>
      </c>
      <c r="J610" s="58">
        <v>3210</v>
      </c>
      <c r="K610" s="24">
        <f>343600-300000</f>
        <v>43600</v>
      </c>
      <c r="L610" s="35">
        <v>100</v>
      </c>
      <c r="M610" s="20"/>
      <c r="N610" s="20"/>
      <c r="O610" s="20"/>
      <c r="P610" s="20">
        <f>20000+5358.37</f>
        <v>25358.37</v>
      </c>
      <c r="Q610" s="20"/>
      <c r="R610" s="20"/>
      <c r="S610" s="20"/>
      <c r="T610" s="20"/>
      <c r="U610" s="20"/>
      <c r="V610" s="20">
        <f>323600-300000-5358.37</f>
        <v>18241.63</v>
      </c>
      <c r="W610" s="20"/>
      <c r="X610" s="20"/>
      <c r="Y610" s="118">
        <f t="shared" si="93"/>
        <v>0</v>
      </c>
      <c r="Z610" s="24">
        <v>25358.37</v>
      </c>
      <c r="AA610" s="118">
        <f t="shared" si="95"/>
        <v>0</v>
      </c>
      <c r="AB610" s="118"/>
      <c r="AC610" s="24"/>
      <c r="AD610" s="118">
        <f t="shared" si="97"/>
        <v>18241.63</v>
      </c>
    </row>
    <row r="611" spans="1:30" ht="30.75">
      <c r="A611" s="169"/>
      <c r="B611" s="169"/>
      <c r="C611" s="169"/>
      <c r="D611" s="166"/>
      <c r="E611" s="100" t="s">
        <v>412</v>
      </c>
      <c r="F611" s="97">
        <v>2429</v>
      </c>
      <c r="G611" s="25">
        <v>2020</v>
      </c>
      <c r="H611" s="24">
        <v>720000</v>
      </c>
      <c r="I611" s="50">
        <v>0</v>
      </c>
      <c r="J611" s="58">
        <v>3210</v>
      </c>
      <c r="K611" s="24">
        <v>720000</v>
      </c>
      <c r="L611" s="35">
        <v>100</v>
      </c>
      <c r="M611" s="20"/>
      <c r="N611" s="20"/>
      <c r="O611" s="20"/>
      <c r="P611" s="20">
        <f>30000+12336.16</f>
        <v>42336.16</v>
      </c>
      <c r="Q611" s="20"/>
      <c r="R611" s="20"/>
      <c r="S611" s="20"/>
      <c r="T611" s="20"/>
      <c r="U611" s="20"/>
      <c r="V611" s="20">
        <f>690000-12336.16</f>
        <v>677663.84</v>
      </c>
      <c r="W611" s="20"/>
      <c r="X611" s="20"/>
      <c r="Y611" s="118">
        <f t="shared" si="93"/>
        <v>0</v>
      </c>
      <c r="Z611" s="24">
        <v>42336.16</v>
      </c>
      <c r="AA611" s="118">
        <f t="shared" si="95"/>
        <v>0</v>
      </c>
      <c r="AB611" s="118"/>
      <c r="AC611" s="24"/>
      <c r="AD611" s="118">
        <f t="shared" si="97"/>
        <v>677663.84</v>
      </c>
    </row>
    <row r="612" spans="1:30" ht="46.5">
      <c r="A612" s="169"/>
      <c r="B612" s="169"/>
      <c r="C612" s="169"/>
      <c r="D612" s="166"/>
      <c r="E612" s="26" t="s">
        <v>395</v>
      </c>
      <c r="F612" s="97">
        <v>2430</v>
      </c>
      <c r="G612" s="25">
        <v>2020</v>
      </c>
      <c r="H612" s="24">
        <v>390000</v>
      </c>
      <c r="I612" s="50">
        <v>0</v>
      </c>
      <c r="J612" s="58">
        <v>3210</v>
      </c>
      <c r="K612" s="24">
        <v>390000</v>
      </c>
      <c r="L612" s="35">
        <v>100</v>
      </c>
      <c r="M612" s="20"/>
      <c r="N612" s="20"/>
      <c r="O612" s="20"/>
      <c r="P612" s="20">
        <f>20000+4512.75</f>
        <v>24512.75</v>
      </c>
      <c r="Q612" s="20"/>
      <c r="R612" s="20"/>
      <c r="S612" s="20"/>
      <c r="T612" s="20"/>
      <c r="U612" s="20"/>
      <c r="V612" s="20">
        <f>370000-4512.75</f>
        <v>365487.25</v>
      </c>
      <c r="W612" s="20"/>
      <c r="X612" s="20"/>
      <c r="Y612" s="118">
        <f t="shared" si="93"/>
        <v>0</v>
      </c>
      <c r="Z612" s="24">
        <v>24512.75</v>
      </c>
      <c r="AA612" s="118">
        <f t="shared" si="95"/>
        <v>0</v>
      </c>
      <c r="AB612" s="118"/>
      <c r="AC612" s="24"/>
      <c r="AD612" s="118">
        <f t="shared" si="97"/>
        <v>365487.25</v>
      </c>
    </row>
    <row r="613" spans="1:30" ht="46.5">
      <c r="A613" s="169"/>
      <c r="B613" s="169"/>
      <c r="C613" s="169"/>
      <c r="D613" s="166"/>
      <c r="E613" s="26" t="s">
        <v>397</v>
      </c>
      <c r="F613" s="97">
        <v>2431</v>
      </c>
      <c r="G613" s="25">
        <v>2020</v>
      </c>
      <c r="H613" s="24">
        <v>364100</v>
      </c>
      <c r="I613" s="50">
        <v>0</v>
      </c>
      <c r="J613" s="58">
        <v>3210</v>
      </c>
      <c r="K613" s="24">
        <v>364100</v>
      </c>
      <c r="L613" s="35">
        <v>100</v>
      </c>
      <c r="M613" s="20"/>
      <c r="N613" s="20"/>
      <c r="O613" s="20"/>
      <c r="P613" s="20">
        <f>20000+6527.88</f>
        <v>26527.88</v>
      </c>
      <c r="Q613" s="20"/>
      <c r="R613" s="20"/>
      <c r="S613" s="20"/>
      <c r="T613" s="20"/>
      <c r="U613" s="20"/>
      <c r="V613" s="20">
        <f>344100-6527.88</f>
        <v>337572.12</v>
      </c>
      <c r="W613" s="20"/>
      <c r="X613" s="20"/>
      <c r="Y613" s="118">
        <f t="shared" si="93"/>
        <v>0</v>
      </c>
      <c r="Z613" s="24">
        <v>26527.88</v>
      </c>
      <c r="AA613" s="118">
        <f t="shared" si="95"/>
        <v>0</v>
      </c>
      <c r="AB613" s="118"/>
      <c r="AC613" s="24"/>
      <c r="AD613" s="118">
        <f t="shared" si="97"/>
        <v>337572.12</v>
      </c>
    </row>
    <row r="614" spans="1:30" ht="46.5">
      <c r="A614" s="169"/>
      <c r="B614" s="169"/>
      <c r="C614" s="169"/>
      <c r="D614" s="166"/>
      <c r="E614" s="26" t="s">
        <v>375</v>
      </c>
      <c r="F614" s="97">
        <v>2432</v>
      </c>
      <c r="G614" s="25">
        <v>2020</v>
      </c>
      <c r="H614" s="24">
        <v>225000</v>
      </c>
      <c r="I614" s="50">
        <v>0</v>
      </c>
      <c r="J614" s="58">
        <v>3210</v>
      </c>
      <c r="K614" s="24">
        <v>225000</v>
      </c>
      <c r="L614" s="35">
        <v>100</v>
      </c>
      <c r="M614" s="20"/>
      <c r="N614" s="20"/>
      <c r="O614" s="20"/>
      <c r="P614" s="20">
        <f>15000+2214.68</f>
        <v>17214.68</v>
      </c>
      <c r="Q614" s="20"/>
      <c r="R614" s="20">
        <f>179532.73</f>
        <v>179532.73</v>
      </c>
      <c r="S614" s="20"/>
      <c r="T614" s="20"/>
      <c r="U614" s="20"/>
      <c r="V614" s="20">
        <f>210000-2214.68-179532.73</f>
        <v>28252.589999999997</v>
      </c>
      <c r="W614" s="20"/>
      <c r="X614" s="20"/>
      <c r="Y614" s="118">
        <f t="shared" si="93"/>
        <v>0</v>
      </c>
      <c r="Z614" s="24">
        <f>17214.68+179532.73</f>
        <v>196747.41</v>
      </c>
      <c r="AA614" s="118">
        <f t="shared" si="95"/>
        <v>0</v>
      </c>
      <c r="AB614" s="118"/>
      <c r="AC614" s="24"/>
      <c r="AD614" s="118">
        <f t="shared" si="97"/>
        <v>28252.589999999997</v>
      </c>
    </row>
    <row r="615" spans="1:30" ht="46.5">
      <c r="A615" s="169"/>
      <c r="B615" s="169"/>
      <c r="C615" s="169"/>
      <c r="D615" s="166"/>
      <c r="E615" s="63" t="s">
        <v>376</v>
      </c>
      <c r="F615" s="97">
        <v>2433</v>
      </c>
      <c r="G615" s="25">
        <v>2020</v>
      </c>
      <c r="H615" s="24">
        <v>250000</v>
      </c>
      <c r="I615" s="50">
        <v>0</v>
      </c>
      <c r="J615" s="58">
        <v>3210</v>
      </c>
      <c r="K615" s="24">
        <v>250000</v>
      </c>
      <c r="L615" s="35">
        <v>100</v>
      </c>
      <c r="M615" s="20"/>
      <c r="N615" s="20"/>
      <c r="O615" s="20"/>
      <c r="P615" s="20">
        <f>15000+3909.53</f>
        <v>18909.53</v>
      </c>
      <c r="Q615" s="20"/>
      <c r="R615" s="20"/>
      <c r="S615" s="20"/>
      <c r="T615" s="20"/>
      <c r="U615" s="20"/>
      <c r="V615" s="20">
        <f>235000-3909.53</f>
        <v>231090.47</v>
      </c>
      <c r="W615" s="20"/>
      <c r="X615" s="20"/>
      <c r="Y615" s="118">
        <f t="shared" si="93"/>
        <v>0</v>
      </c>
      <c r="Z615" s="24">
        <v>18909.53</v>
      </c>
      <c r="AA615" s="118">
        <f t="shared" si="95"/>
        <v>0</v>
      </c>
      <c r="AB615" s="118"/>
      <c r="AC615" s="24"/>
      <c r="AD615" s="118">
        <f t="shared" si="97"/>
        <v>231090.47</v>
      </c>
    </row>
    <row r="616" spans="1:30" ht="30.75">
      <c r="A616" s="169"/>
      <c r="B616" s="169"/>
      <c r="C616" s="169"/>
      <c r="D616" s="166"/>
      <c r="E616" s="26" t="s">
        <v>392</v>
      </c>
      <c r="F616" s="97">
        <v>2434</v>
      </c>
      <c r="G616" s="25">
        <v>2020</v>
      </c>
      <c r="H616" s="24">
        <v>200000</v>
      </c>
      <c r="I616" s="50">
        <v>0</v>
      </c>
      <c r="J616" s="58">
        <v>3210</v>
      </c>
      <c r="K616" s="24">
        <v>200000</v>
      </c>
      <c r="L616" s="35">
        <v>100</v>
      </c>
      <c r="M616" s="20"/>
      <c r="N616" s="20"/>
      <c r="O616" s="20"/>
      <c r="P616" s="20">
        <f>15000-2222.34</f>
        <v>12777.66</v>
      </c>
      <c r="Q616" s="20"/>
      <c r="R616" s="20"/>
      <c r="S616" s="20"/>
      <c r="T616" s="20"/>
      <c r="U616" s="20"/>
      <c r="V616" s="20">
        <f>185000+2222.34</f>
        <v>187222.34</v>
      </c>
      <c r="W616" s="20"/>
      <c r="X616" s="20"/>
      <c r="Y616" s="118">
        <f t="shared" si="93"/>
        <v>0</v>
      </c>
      <c r="Z616" s="24">
        <v>12777.66</v>
      </c>
      <c r="AA616" s="118">
        <f t="shared" si="95"/>
        <v>0</v>
      </c>
      <c r="AB616" s="118"/>
      <c r="AC616" s="24"/>
      <c r="AD616" s="118">
        <f t="shared" si="97"/>
        <v>187222.34</v>
      </c>
    </row>
    <row r="617" spans="1:30" ht="46.5">
      <c r="A617" s="169"/>
      <c r="B617" s="169"/>
      <c r="C617" s="169"/>
      <c r="D617" s="166"/>
      <c r="E617" s="26" t="s">
        <v>746</v>
      </c>
      <c r="F617" s="97">
        <v>2435</v>
      </c>
      <c r="G617" s="25">
        <v>2020</v>
      </c>
      <c r="H617" s="24">
        <v>400000</v>
      </c>
      <c r="I617" s="50">
        <v>0</v>
      </c>
      <c r="J617" s="58">
        <v>3210</v>
      </c>
      <c r="K617" s="24">
        <v>400000</v>
      </c>
      <c r="L617" s="35">
        <v>100</v>
      </c>
      <c r="M617" s="20"/>
      <c r="N617" s="20"/>
      <c r="O617" s="20"/>
      <c r="P617" s="20">
        <f>20000-5429.52</f>
        <v>14570.48</v>
      </c>
      <c r="Q617" s="20"/>
      <c r="R617" s="20"/>
      <c r="S617" s="20"/>
      <c r="T617" s="20"/>
      <c r="U617" s="20"/>
      <c r="V617" s="20">
        <f>380000+5429.52</f>
        <v>385429.52</v>
      </c>
      <c r="W617" s="20"/>
      <c r="X617" s="20"/>
      <c r="Y617" s="118">
        <f t="shared" si="93"/>
        <v>0</v>
      </c>
      <c r="Z617" s="24">
        <v>14570.48</v>
      </c>
      <c r="AA617" s="118">
        <f t="shared" si="95"/>
        <v>0</v>
      </c>
      <c r="AB617" s="118"/>
      <c r="AC617" s="24"/>
      <c r="AD617" s="118">
        <f t="shared" si="97"/>
        <v>385429.52</v>
      </c>
    </row>
    <row r="618" spans="1:30" ht="46.5">
      <c r="A618" s="169"/>
      <c r="B618" s="169"/>
      <c r="C618" s="169"/>
      <c r="D618" s="166"/>
      <c r="E618" s="19" t="s">
        <v>368</v>
      </c>
      <c r="F618" s="97">
        <v>2436</v>
      </c>
      <c r="G618" s="25">
        <v>2020</v>
      </c>
      <c r="H618" s="20">
        <v>327750</v>
      </c>
      <c r="I618" s="50">
        <v>0</v>
      </c>
      <c r="J618" s="58">
        <v>3210</v>
      </c>
      <c r="K618" s="20">
        <v>327750</v>
      </c>
      <c r="L618" s="35">
        <v>100</v>
      </c>
      <c r="M618" s="20"/>
      <c r="N618" s="20"/>
      <c r="O618" s="20"/>
      <c r="P618" s="20">
        <f>20000+2470.29</f>
        <v>22470.29</v>
      </c>
      <c r="Q618" s="20"/>
      <c r="R618" s="20"/>
      <c r="S618" s="20"/>
      <c r="T618" s="20"/>
      <c r="U618" s="20"/>
      <c r="V618" s="20">
        <f>307750-2470.29</f>
        <v>305279.71</v>
      </c>
      <c r="W618" s="20"/>
      <c r="X618" s="20"/>
      <c r="Y618" s="118">
        <f t="shared" si="93"/>
        <v>0</v>
      </c>
      <c r="Z618" s="24">
        <v>22470.29</v>
      </c>
      <c r="AA618" s="118">
        <f t="shared" si="95"/>
        <v>0</v>
      </c>
      <c r="AB618" s="118"/>
      <c r="AC618" s="24"/>
      <c r="AD618" s="118">
        <f t="shared" si="97"/>
        <v>305279.71</v>
      </c>
    </row>
    <row r="619" spans="1:30" ht="30.75">
      <c r="A619" s="169"/>
      <c r="B619" s="169"/>
      <c r="C619" s="169"/>
      <c r="D619" s="166"/>
      <c r="E619" s="105" t="s">
        <v>369</v>
      </c>
      <c r="F619" s="97">
        <v>2437</v>
      </c>
      <c r="G619" s="25">
        <v>2020</v>
      </c>
      <c r="H619" s="20">
        <v>637125</v>
      </c>
      <c r="I619" s="50">
        <v>0</v>
      </c>
      <c r="J619" s="58">
        <v>3210</v>
      </c>
      <c r="K619" s="20">
        <v>637125</v>
      </c>
      <c r="L619" s="35">
        <v>100</v>
      </c>
      <c r="M619" s="20"/>
      <c r="N619" s="20"/>
      <c r="O619" s="20"/>
      <c r="P619" s="20">
        <f>40000-4213.79</f>
        <v>35786.21</v>
      </c>
      <c r="Q619" s="20"/>
      <c r="R619" s="20"/>
      <c r="S619" s="20">
        <f>465076.03</f>
        <v>465076.03</v>
      </c>
      <c r="T619" s="20"/>
      <c r="U619" s="20"/>
      <c r="V619" s="20">
        <f>597125+4213.79-465076.03</f>
        <v>136262.76</v>
      </c>
      <c r="W619" s="20"/>
      <c r="X619" s="20"/>
      <c r="Y619" s="118">
        <f t="shared" si="93"/>
        <v>0</v>
      </c>
      <c r="Z619" s="24">
        <f>35786.21+465076.03</f>
        <v>500862.24000000005</v>
      </c>
      <c r="AA619" s="118">
        <f t="shared" si="95"/>
        <v>0</v>
      </c>
      <c r="AB619" s="118"/>
      <c r="AC619" s="24"/>
      <c r="AD619" s="118">
        <f t="shared" si="97"/>
        <v>136262.75999999995</v>
      </c>
    </row>
    <row r="620" spans="1:30" ht="30.75">
      <c r="A620" s="169"/>
      <c r="B620" s="169"/>
      <c r="C620" s="169"/>
      <c r="D620" s="166"/>
      <c r="E620" s="26" t="s">
        <v>400</v>
      </c>
      <c r="F620" s="97">
        <v>2438</v>
      </c>
      <c r="G620" s="25">
        <v>2020</v>
      </c>
      <c r="H620" s="24">
        <v>421067.74</v>
      </c>
      <c r="I620" s="50">
        <v>0</v>
      </c>
      <c r="J620" s="58">
        <v>3210</v>
      </c>
      <c r="K620" s="24">
        <v>421067.74</v>
      </c>
      <c r="L620" s="35">
        <v>100</v>
      </c>
      <c r="M620" s="20"/>
      <c r="N620" s="20">
        <v>421067.74</v>
      </c>
      <c r="O620" s="20"/>
      <c r="P620" s="20">
        <f>30000-30000</f>
        <v>0</v>
      </c>
      <c r="Q620" s="20"/>
      <c r="R620" s="20"/>
      <c r="S620" s="20"/>
      <c r="T620" s="20"/>
      <c r="U620" s="20"/>
      <c r="V620" s="20">
        <f>391067.74-391067.74</f>
        <v>0</v>
      </c>
      <c r="W620" s="20"/>
      <c r="X620" s="20"/>
      <c r="Y620" s="118">
        <f t="shared" si="93"/>
        <v>0</v>
      </c>
      <c r="Z620" s="24">
        <v>421067.74</v>
      </c>
      <c r="AA620" s="118">
        <f t="shared" si="95"/>
        <v>0</v>
      </c>
      <c r="AB620" s="118"/>
      <c r="AC620" s="24"/>
      <c r="AD620" s="118">
        <f t="shared" si="97"/>
        <v>0</v>
      </c>
    </row>
    <row r="621" spans="1:30" ht="46.5">
      <c r="A621" s="169"/>
      <c r="B621" s="169"/>
      <c r="C621" s="169"/>
      <c r="D621" s="166"/>
      <c r="E621" s="63" t="s">
        <v>385</v>
      </c>
      <c r="F621" s="97">
        <v>2439</v>
      </c>
      <c r="G621" s="25">
        <v>2020</v>
      </c>
      <c r="H621" s="24">
        <v>1610000</v>
      </c>
      <c r="I621" s="50">
        <v>0</v>
      </c>
      <c r="J621" s="58">
        <v>3210</v>
      </c>
      <c r="K621" s="24">
        <v>1610000</v>
      </c>
      <c r="L621" s="35">
        <v>100</v>
      </c>
      <c r="M621" s="20"/>
      <c r="N621" s="20"/>
      <c r="O621" s="20"/>
      <c r="P621" s="20">
        <f>91409.91+13303.09</f>
        <v>104713</v>
      </c>
      <c r="Q621" s="20"/>
      <c r="R621" s="20">
        <f>1431494.22</f>
        <v>1431494.22</v>
      </c>
      <c r="S621" s="20"/>
      <c r="T621" s="20"/>
      <c r="U621" s="20"/>
      <c r="V621" s="20">
        <f>1518590.09-13303.09-1431494.22</f>
        <v>73792.78000000003</v>
      </c>
      <c r="W621" s="20"/>
      <c r="X621" s="20"/>
      <c r="Y621" s="118">
        <f t="shared" si="93"/>
        <v>0</v>
      </c>
      <c r="Z621" s="24">
        <f>104713+1431494.22</f>
        <v>1536207.22</v>
      </c>
      <c r="AA621" s="118">
        <f t="shared" si="95"/>
        <v>0</v>
      </c>
      <c r="AB621" s="118"/>
      <c r="AC621" s="24"/>
      <c r="AD621" s="118">
        <f t="shared" si="97"/>
        <v>73792.78000000003</v>
      </c>
    </row>
    <row r="622" spans="1:30" ht="30.75">
      <c r="A622" s="169"/>
      <c r="B622" s="169"/>
      <c r="C622" s="169"/>
      <c r="D622" s="166"/>
      <c r="E622" s="26" t="s">
        <v>374</v>
      </c>
      <c r="F622" s="97">
        <v>2440</v>
      </c>
      <c r="G622" s="25">
        <v>2020</v>
      </c>
      <c r="H622" s="24">
        <v>365000</v>
      </c>
      <c r="I622" s="50">
        <v>0</v>
      </c>
      <c r="J622" s="58">
        <v>3210</v>
      </c>
      <c r="K622" s="24">
        <v>365000</v>
      </c>
      <c r="L622" s="35">
        <v>100</v>
      </c>
      <c r="M622" s="20"/>
      <c r="N622" s="20"/>
      <c r="O622" s="20"/>
      <c r="P622" s="20"/>
      <c r="Q622" s="20"/>
      <c r="R622" s="20">
        <f>20000+4240.83</f>
        <v>24240.83</v>
      </c>
      <c r="S622" s="20"/>
      <c r="T622" s="20"/>
      <c r="U622" s="20"/>
      <c r="V622" s="20">
        <f>345000-4240.83</f>
        <v>340759.17</v>
      </c>
      <c r="W622" s="20"/>
      <c r="X622" s="20"/>
      <c r="Y622" s="118">
        <f t="shared" si="93"/>
        <v>0</v>
      </c>
      <c r="Z622" s="24">
        <v>24240.83</v>
      </c>
      <c r="AA622" s="118">
        <f t="shared" si="95"/>
        <v>0</v>
      </c>
      <c r="AB622" s="118"/>
      <c r="AC622" s="24"/>
      <c r="AD622" s="118">
        <f t="shared" si="97"/>
        <v>340759.17</v>
      </c>
    </row>
    <row r="623" spans="1:30" ht="30.75">
      <c r="A623" s="169"/>
      <c r="B623" s="169"/>
      <c r="C623" s="169"/>
      <c r="D623" s="166"/>
      <c r="E623" s="100" t="s">
        <v>743</v>
      </c>
      <c r="F623" s="97">
        <v>2441</v>
      </c>
      <c r="G623" s="25">
        <v>2020</v>
      </c>
      <c r="H623" s="24">
        <v>1650000</v>
      </c>
      <c r="I623" s="50">
        <v>0</v>
      </c>
      <c r="J623" s="58">
        <v>3210</v>
      </c>
      <c r="K623" s="24">
        <f>1650000-1500000</f>
        <v>150000</v>
      </c>
      <c r="L623" s="35">
        <v>100</v>
      </c>
      <c r="M623" s="20"/>
      <c r="N623" s="20"/>
      <c r="O623" s="20"/>
      <c r="P623" s="20"/>
      <c r="Q623" s="20">
        <v>74046</v>
      </c>
      <c r="R623" s="20">
        <f>-62533</f>
        <v>-62533</v>
      </c>
      <c r="S623" s="20">
        <f>68104.7</f>
        <v>68104.7</v>
      </c>
      <c r="T623" s="20"/>
      <c r="U623" s="20"/>
      <c r="V623" s="20">
        <f>1575954-1500000-5571.7</f>
        <v>70382.3</v>
      </c>
      <c r="W623" s="20"/>
      <c r="X623" s="20"/>
      <c r="Y623" s="118">
        <f t="shared" si="93"/>
        <v>0</v>
      </c>
      <c r="Z623" s="24"/>
      <c r="AA623" s="118">
        <f t="shared" si="95"/>
        <v>79617.7</v>
      </c>
      <c r="AB623" s="118"/>
      <c r="AC623" s="24"/>
      <c r="AD623" s="118">
        <f t="shared" si="97"/>
        <v>150000</v>
      </c>
    </row>
    <row r="624" spans="1:30" ht="46.5">
      <c r="A624" s="169"/>
      <c r="B624" s="169"/>
      <c r="C624" s="169"/>
      <c r="D624" s="166"/>
      <c r="E624" s="105" t="s">
        <v>372</v>
      </c>
      <c r="F624" s="97">
        <v>2442</v>
      </c>
      <c r="G624" s="25">
        <v>2020</v>
      </c>
      <c r="H624" s="20">
        <v>301300</v>
      </c>
      <c r="I624" s="50">
        <v>0</v>
      </c>
      <c r="J624" s="58">
        <v>3210</v>
      </c>
      <c r="K624" s="20">
        <v>301300</v>
      </c>
      <c r="L624" s="35">
        <v>100</v>
      </c>
      <c r="M624" s="20"/>
      <c r="N624" s="20"/>
      <c r="O624" s="20"/>
      <c r="P624" s="20"/>
      <c r="Q624" s="20"/>
      <c r="R624" s="20">
        <f>15000+5641.32</f>
        <v>20641.32</v>
      </c>
      <c r="S624" s="20"/>
      <c r="T624" s="20"/>
      <c r="U624" s="20"/>
      <c r="V624" s="20">
        <f>286300-5641.32</f>
        <v>280658.68</v>
      </c>
      <c r="W624" s="20"/>
      <c r="X624" s="20"/>
      <c r="Y624" s="118">
        <f t="shared" si="93"/>
        <v>0</v>
      </c>
      <c r="Z624" s="24">
        <v>20641.32</v>
      </c>
      <c r="AA624" s="118">
        <f t="shared" si="95"/>
        <v>0</v>
      </c>
      <c r="AB624" s="118"/>
      <c r="AC624" s="24"/>
      <c r="AD624" s="118">
        <f t="shared" si="97"/>
        <v>280658.68</v>
      </c>
    </row>
    <row r="625" spans="1:30" ht="46.5">
      <c r="A625" s="169"/>
      <c r="B625" s="169"/>
      <c r="C625" s="169"/>
      <c r="D625" s="166"/>
      <c r="E625" s="63" t="s">
        <v>387</v>
      </c>
      <c r="F625" s="97">
        <v>2443</v>
      </c>
      <c r="G625" s="25">
        <v>2020</v>
      </c>
      <c r="H625" s="24">
        <v>1280000</v>
      </c>
      <c r="I625" s="50">
        <v>0</v>
      </c>
      <c r="J625" s="58">
        <v>3210</v>
      </c>
      <c r="K625" s="24">
        <v>1280000</v>
      </c>
      <c r="L625" s="35">
        <v>100</v>
      </c>
      <c r="M625" s="20"/>
      <c r="N625" s="20"/>
      <c r="O625" s="20"/>
      <c r="P625" s="20"/>
      <c r="Q625" s="20"/>
      <c r="R625" s="20">
        <f>60000-19688.22</f>
        <v>40311.78</v>
      </c>
      <c r="S625" s="20">
        <f>528511.2</f>
        <v>528511.2</v>
      </c>
      <c r="T625" s="20"/>
      <c r="U625" s="20"/>
      <c r="V625" s="20">
        <f>1220000+19688.22-528511.2</f>
        <v>711177.02</v>
      </c>
      <c r="W625" s="20"/>
      <c r="X625" s="20"/>
      <c r="Y625" s="118">
        <f t="shared" si="93"/>
        <v>0</v>
      </c>
      <c r="Z625" s="118">
        <f>39889.95+528933.03</f>
        <v>568822.98</v>
      </c>
      <c r="AA625" s="118">
        <f t="shared" si="95"/>
        <v>0</v>
      </c>
      <c r="AB625" s="118"/>
      <c r="AC625" s="24"/>
      <c r="AD625" s="118">
        <f t="shared" si="97"/>
        <v>711177.02</v>
      </c>
    </row>
    <row r="626" spans="1:30" ht="30.75">
      <c r="A626" s="169"/>
      <c r="B626" s="169"/>
      <c r="C626" s="169"/>
      <c r="D626" s="166"/>
      <c r="E626" s="63" t="s">
        <v>379</v>
      </c>
      <c r="F626" s="97">
        <v>2444</v>
      </c>
      <c r="G626" s="25">
        <v>2020</v>
      </c>
      <c r="H626" s="24">
        <v>120000</v>
      </c>
      <c r="I626" s="50">
        <v>0</v>
      </c>
      <c r="J626" s="58">
        <v>3210</v>
      </c>
      <c r="K626" s="24">
        <v>120000</v>
      </c>
      <c r="L626" s="35">
        <v>100</v>
      </c>
      <c r="M626" s="20"/>
      <c r="N626" s="20"/>
      <c r="O626" s="20"/>
      <c r="P626" s="20"/>
      <c r="Q626" s="20"/>
      <c r="R626" s="20">
        <f>10000-915.87+53547.53</f>
        <v>62631.659999999996</v>
      </c>
      <c r="S626" s="20"/>
      <c r="T626" s="20"/>
      <c r="U626" s="20"/>
      <c r="V626" s="20">
        <f>110000+915.87-53547.53</f>
        <v>57368.34</v>
      </c>
      <c r="W626" s="20"/>
      <c r="X626" s="20"/>
      <c r="Y626" s="118">
        <f t="shared" si="93"/>
        <v>7.275957614183426E-12</v>
      </c>
      <c r="Z626" s="118">
        <f>9084.13+53547.53</f>
        <v>62631.659999999996</v>
      </c>
      <c r="AA626" s="118">
        <f t="shared" si="95"/>
        <v>0</v>
      </c>
      <c r="AB626" s="118"/>
      <c r="AC626" s="24"/>
      <c r="AD626" s="118">
        <f t="shared" si="97"/>
        <v>57368.340000000004</v>
      </c>
    </row>
    <row r="627" spans="1:30" ht="21">
      <c r="A627" s="169"/>
      <c r="B627" s="169"/>
      <c r="C627" s="169"/>
      <c r="D627" s="166"/>
      <c r="E627" s="100" t="s">
        <v>408</v>
      </c>
      <c r="F627" s="97">
        <v>2445</v>
      </c>
      <c r="G627" s="25">
        <v>2020</v>
      </c>
      <c r="H627" s="24">
        <v>1450000</v>
      </c>
      <c r="I627" s="50">
        <v>0</v>
      </c>
      <c r="J627" s="58">
        <v>3210</v>
      </c>
      <c r="K627" s="24">
        <v>1450000</v>
      </c>
      <c r="L627" s="35">
        <v>100</v>
      </c>
      <c r="M627" s="20"/>
      <c r="N627" s="20"/>
      <c r="O627" s="20"/>
      <c r="P627" s="20"/>
      <c r="Q627" s="20"/>
      <c r="R627" s="20">
        <f>70000+7331.22</f>
        <v>77331.22</v>
      </c>
      <c r="S627" s="20"/>
      <c r="T627" s="20"/>
      <c r="U627" s="20"/>
      <c r="V627" s="20">
        <f>432877.45-5150.24</f>
        <v>427727.21</v>
      </c>
      <c r="W627" s="20">
        <f>947122.55-2180.98</f>
        <v>944941.5700000001</v>
      </c>
      <c r="X627" s="20"/>
      <c r="Y627" s="118">
        <f aca="true" t="shared" si="98" ref="Y627:Y692">K627-M627-N627-O627-P627-Q627-R627-S627-T627-U627-V627-W627-X627</f>
        <v>0</v>
      </c>
      <c r="Z627" s="24">
        <v>77331.22</v>
      </c>
      <c r="AA627" s="118">
        <f t="shared" si="95"/>
        <v>0</v>
      </c>
      <c r="AB627" s="118"/>
      <c r="AC627" s="24"/>
      <c r="AD627" s="118">
        <f t="shared" si="97"/>
        <v>1372668.78</v>
      </c>
    </row>
    <row r="628" spans="1:30" ht="63" customHeight="1">
      <c r="A628" s="169"/>
      <c r="B628" s="169"/>
      <c r="C628" s="169"/>
      <c r="D628" s="166"/>
      <c r="E628" s="105" t="s">
        <v>370</v>
      </c>
      <c r="F628" s="97">
        <v>2446</v>
      </c>
      <c r="G628" s="25">
        <v>2020</v>
      </c>
      <c r="H628" s="20">
        <v>178250</v>
      </c>
      <c r="I628" s="50">
        <v>0</v>
      </c>
      <c r="J628" s="58">
        <v>3210</v>
      </c>
      <c r="K628" s="20">
        <v>178250</v>
      </c>
      <c r="L628" s="35">
        <v>100</v>
      </c>
      <c r="M628" s="20"/>
      <c r="N628" s="20"/>
      <c r="O628" s="20"/>
      <c r="P628" s="20"/>
      <c r="Q628" s="20"/>
      <c r="R628" s="20">
        <f>10000+3518.47</f>
        <v>13518.47</v>
      </c>
      <c r="S628" s="20">
        <f>121458.7</f>
        <v>121458.7</v>
      </c>
      <c r="T628" s="20"/>
      <c r="U628" s="20"/>
      <c r="V628" s="20"/>
      <c r="W628" s="20">
        <f>168250-3518.47-121458.7</f>
        <v>43272.83</v>
      </c>
      <c r="X628" s="20"/>
      <c r="Y628" s="118">
        <f t="shared" si="98"/>
        <v>0</v>
      </c>
      <c r="Z628" s="24">
        <f>13518.47+121458.7</f>
        <v>134977.16999999998</v>
      </c>
      <c r="AA628" s="118">
        <f t="shared" si="95"/>
        <v>0</v>
      </c>
      <c r="AB628" s="118"/>
      <c r="AC628" s="24"/>
      <c r="AD628" s="118">
        <f t="shared" si="97"/>
        <v>43272.830000000016</v>
      </c>
    </row>
    <row r="629" spans="1:30" ht="30.75">
      <c r="A629" s="169"/>
      <c r="B629" s="169"/>
      <c r="C629" s="169"/>
      <c r="D629" s="166"/>
      <c r="E629" s="63" t="s">
        <v>388</v>
      </c>
      <c r="F629" s="97">
        <v>2447</v>
      </c>
      <c r="G629" s="25">
        <v>2020</v>
      </c>
      <c r="H629" s="24">
        <v>520000</v>
      </c>
      <c r="I629" s="50">
        <v>0</v>
      </c>
      <c r="J629" s="58">
        <v>3210</v>
      </c>
      <c r="K629" s="24">
        <v>520000</v>
      </c>
      <c r="L629" s="35">
        <v>100</v>
      </c>
      <c r="M629" s="20"/>
      <c r="N629" s="20"/>
      <c r="O629" s="20"/>
      <c r="P629" s="20"/>
      <c r="Q629" s="20"/>
      <c r="R629" s="20">
        <f>30000-8705.84</f>
        <v>21294.16</v>
      </c>
      <c r="S629" s="20"/>
      <c r="T629" s="20"/>
      <c r="U629" s="20"/>
      <c r="V629" s="20"/>
      <c r="W629" s="20">
        <f>490000+8705.84</f>
        <v>498705.84</v>
      </c>
      <c r="X629" s="20"/>
      <c r="Y629" s="118">
        <f t="shared" si="98"/>
        <v>0</v>
      </c>
      <c r="Z629" s="24">
        <v>21294.16</v>
      </c>
      <c r="AA629" s="118">
        <f t="shared" si="95"/>
        <v>0</v>
      </c>
      <c r="AB629" s="118"/>
      <c r="AC629" s="24"/>
      <c r="AD629" s="118">
        <f t="shared" si="97"/>
        <v>498705.84</v>
      </c>
    </row>
    <row r="630" spans="1:30" ht="30.75">
      <c r="A630" s="169"/>
      <c r="B630" s="169"/>
      <c r="C630" s="169"/>
      <c r="D630" s="166"/>
      <c r="E630" s="26" t="s">
        <v>373</v>
      </c>
      <c r="F630" s="97">
        <v>2448</v>
      </c>
      <c r="G630" s="25">
        <v>2020</v>
      </c>
      <c r="H630" s="24">
        <v>320310</v>
      </c>
      <c r="I630" s="50">
        <v>0</v>
      </c>
      <c r="J630" s="58">
        <v>3210</v>
      </c>
      <c r="K630" s="24">
        <v>320310</v>
      </c>
      <c r="L630" s="35">
        <v>100</v>
      </c>
      <c r="M630" s="20"/>
      <c r="N630" s="20"/>
      <c r="O630" s="20"/>
      <c r="P630" s="20"/>
      <c r="Q630" s="20"/>
      <c r="R630" s="20">
        <f>20000+1843.05</f>
        <v>21843.05</v>
      </c>
      <c r="S630" s="20"/>
      <c r="T630" s="20"/>
      <c r="U630" s="20"/>
      <c r="V630" s="20"/>
      <c r="W630" s="20">
        <f>300310-1843.05</f>
        <v>298466.95</v>
      </c>
      <c r="X630" s="20"/>
      <c r="Y630" s="118">
        <f t="shared" si="98"/>
        <v>0</v>
      </c>
      <c r="Z630" s="24">
        <v>21843.05</v>
      </c>
      <c r="AA630" s="118">
        <f t="shared" si="95"/>
        <v>0</v>
      </c>
      <c r="AB630" s="118"/>
      <c r="AC630" s="24"/>
      <c r="AD630" s="118">
        <f t="shared" si="97"/>
        <v>298466.95</v>
      </c>
    </row>
    <row r="631" spans="1:30" ht="30.75">
      <c r="A631" s="169"/>
      <c r="B631" s="169"/>
      <c r="C631" s="169"/>
      <c r="D631" s="166"/>
      <c r="E631" s="105" t="s">
        <v>371</v>
      </c>
      <c r="F631" s="97">
        <v>2449</v>
      </c>
      <c r="G631" s="25">
        <v>2020</v>
      </c>
      <c r="H631" s="20">
        <v>178250</v>
      </c>
      <c r="I631" s="50">
        <v>0</v>
      </c>
      <c r="J631" s="58">
        <v>3210</v>
      </c>
      <c r="K631" s="20">
        <v>178250</v>
      </c>
      <c r="L631" s="35">
        <v>100</v>
      </c>
      <c r="M631" s="20"/>
      <c r="N631" s="20"/>
      <c r="O631" s="20"/>
      <c r="P631" s="20"/>
      <c r="Q631" s="20"/>
      <c r="R631" s="20">
        <f>10000+3568.63</f>
        <v>13568.630000000001</v>
      </c>
      <c r="S631" s="20">
        <f>122986.27</f>
        <v>122986.27</v>
      </c>
      <c r="T631" s="20"/>
      <c r="U631" s="20"/>
      <c r="V631" s="20"/>
      <c r="W631" s="20">
        <f>168250-3568.63-122986.27</f>
        <v>41695.09999999999</v>
      </c>
      <c r="X631" s="20"/>
      <c r="Y631" s="118">
        <f t="shared" si="98"/>
        <v>0</v>
      </c>
      <c r="Z631" s="24">
        <f>13568.63+122986.27</f>
        <v>136554.9</v>
      </c>
      <c r="AA631" s="118">
        <f t="shared" si="95"/>
        <v>0</v>
      </c>
      <c r="AB631" s="118"/>
      <c r="AC631" s="24"/>
      <c r="AD631" s="118">
        <f t="shared" si="97"/>
        <v>41695.100000000006</v>
      </c>
    </row>
    <row r="632" spans="1:30" ht="30.75">
      <c r="A632" s="169"/>
      <c r="B632" s="169"/>
      <c r="C632" s="169"/>
      <c r="D632" s="166"/>
      <c r="E632" s="26" t="s">
        <v>391</v>
      </c>
      <c r="F632" s="97">
        <v>2450</v>
      </c>
      <c r="G632" s="25">
        <v>2020</v>
      </c>
      <c r="H632" s="24">
        <v>400000</v>
      </c>
      <c r="I632" s="50">
        <v>0</v>
      </c>
      <c r="J632" s="58">
        <v>3210</v>
      </c>
      <c r="K632" s="24">
        <v>400000</v>
      </c>
      <c r="L632" s="35">
        <v>100</v>
      </c>
      <c r="M632" s="20"/>
      <c r="N632" s="20"/>
      <c r="O632" s="20"/>
      <c r="P632" s="20"/>
      <c r="Q632" s="20"/>
      <c r="R632" s="20"/>
      <c r="S632" s="20">
        <f>25000-5175.16</f>
        <v>19824.84</v>
      </c>
      <c r="T632" s="20"/>
      <c r="U632" s="20"/>
      <c r="V632" s="20"/>
      <c r="W632" s="20">
        <f>375000+5175.16</f>
        <v>380175.16</v>
      </c>
      <c r="X632" s="20"/>
      <c r="Y632" s="118">
        <f t="shared" si="98"/>
        <v>0</v>
      </c>
      <c r="Z632" s="24">
        <v>19824.84</v>
      </c>
      <c r="AA632" s="118">
        <f t="shared" si="95"/>
        <v>0</v>
      </c>
      <c r="AB632" s="118"/>
      <c r="AC632" s="24"/>
      <c r="AD632" s="118">
        <f t="shared" si="97"/>
        <v>380175.16</v>
      </c>
    </row>
    <row r="633" spans="1:30" ht="46.5">
      <c r="A633" s="169"/>
      <c r="B633" s="169"/>
      <c r="C633" s="169"/>
      <c r="D633" s="166"/>
      <c r="E633" s="26" t="s">
        <v>394</v>
      </c>
      <c r="F633" s="97">
        <v>2451</v>
      </c>
      <c r="G633" s="25">
        <v>2020</v>
      </c>
      <c r="H633" s="24">
        <v>523400</v>
      </c>
      <c r="I633" s="50">
        <v>0</v>
      </c>
      <c r="J633" s="58">
        <v>3210</v>
      </c>
      <c r="K633" s="24">
        <f>523400-470000</f>
        <v>53400</v>
      </c>
      <c r="L633" s="35">
        <v>100</v>
      </c>
      <c r="M633" s="20"/>
      <c r="N633" s="20"/>
      <c r="O633" s="20"/>
      <c r="P633" s="20"/>
      <c r="Q633" s="20"/>
      <c r="R633" s="20">
        <f>30011.94+3101.21</f>
        <v>33113.15</v>
      </c>
      <c r="S633" s="20"/>
      <c r="T633" s="20"/>
      <c r="U633" s="20"/>
      <c r="V633" s="20"/>
      <c r="W633" s="20">
        <f>493388.06-470000-3101.21</f>
        <v>20286.85</v>
      </c>
      <c r="X633" s="20"/>
      <c r="Y633" s="118">
        <f t="shared" si="98"/>
        <v>0</v>
      </c>
      <c r="Z633" s="24">
        <v>33113.15</v>
      </c>
      <c r="AA633" s="118">
        <f t="shared" si="95"/>
        <v>0</v>
      </c>
      <c r="AB633" s="118"/>
      <c r="AC633" s="24"/>
      <c r="AD633" s="118">
        <f t="shared" si="97"/>
        <v>20286.85</v>
      </c>
    </row>
    <row r="634" spans="1:30" ht="30.75" hidden="1">
      <c r="A634" s="169"/>
      <c r="B634" s="169"/>
      <c r="C634" s="169"/>
      <c r="D634" s="166"/>
      <c r="E634" s="26" t="s">
        <v>380</v>
      </c>
      <c r="F634" s="97">
        <v>2452</v>
      </c>
      <c r="G634" s="25">
        <v>2020</v>
      </c>
      <c r="H634" s="24">
        <v>120000</v>
      </c>
      <c r="I634" s="50">
        <v>0</v>
      </c>
      <c r="J634" s="58">
        <v>3210</v>
      </c>
      <c r="K634" s="24">
        <f>120000-120000</f>
        <v>0</v>
      </c>
      <c r="L634" s="35">
        <v>100</v>
      </c>
      <c r="M634" s="20"/>
      <c r="N634" s="20"/>
      <c r="O634" s="20"/>
      <c r="P634" s="20"/>
      <c r="Q634" s="20"/>
      <c r="R634" s="20"/>
      <c r="S634" s="20">
        <f>10000-10000</f>
        <v>0</v>
      </c>
      <c r="T634" s="20"/>
      <c r="U634" s="20"/>
      <c r="V634" s="20"/>
      <c r="W634" s="20">
        <f>110000-110000</f>
        <v>0</v>
      </c>
      <c r="X634" s="20"/>
      <c r="Y634" s="118">
        <f t="shared" si="98"/>
        <v>0</v>
      </c>
      <c r="Z634" s="24"/>
      <c r="AA634" s="118">
        <f t="shared" si="95"/>
        <v>0</v>
      </c>
      <c r="AB634" s="118"/>
      <c r="AC634" s="24"/>
      <c r="AD634" s="118">
        <f t="shared" si="97"/>
        <v>0</v>
      </c>
    </row>
    <row r="635" spans="1:30" ht="30.75">
      <c r="A635" s="169"/>
      <c r="B635" s="169"/>
      <c r="C635" s="169"/>
      <c r="D635" s="166"/>
      <c r="E635" s="63" t="s">
        <v>382</v>
      </c>
      <c r="F635" s="97">
        <v>2453</v>
      </c>
      <c r="G635" s="25">
        <v>2020</v>
      </c>
      <c r="H635" s="24">
        <v>122276.53</v>
      </c>
      <c r="I635" s="50">
        <v>0</v>
      </c>
      <c r="J635" s="58">
        <v>3210</v>
      </c>
      <c r="K635" s="24">
        <v>122276.53</v>
      </c>
      <c r="L635" s="35">
        <v>100</v>
      </c>
      <c r="M635" s="20"/>
      <c r="N635" s="20">
        <v>122276.53</v>
      </c>
      <c r="O635" s="20"/>
      <c r="P635" s="20"/>
      <c r="Q635" s="20"/>
      <c r="R635" s="20"/>
      <c r="S635" s="20">
        <f>10000-10000</f>
        <v>0</v>
      </c>
      <c r="T635" s="20"/>
      <c r="U635" s="20"/>
      <c r="V635" s="20"/>
      <c r="W635" s="20">
        <f>112276.53-112276.53</f>
        <v>0</v>
      </c>
      <c r="X635" s="20"/>
      <c r="Y635" s="118">
        <f t="shared" si="98"/>
        <v>0</v>
      </c>
      <c r="Z635" s="24">
        <v>122276.53</v>
      </c>
      <c r="AA635" s="118">
        <f t="shared" si="95"/>
        <v>0</v>
      </c>
      <c r="AB635" s="118"/>
      <c r="AC635" s="24"/>
      <c r="AD635" s="118">
        <f t="shared" si="97"/>
        <v>0</v>
      </c>
    </row>
    <row r="636" spans="1:30" ht="30.75">
      <c r="A636" s="169"/>
      <c r="B636" s="169"/>
      <c r="C636" s="169"/>
      <c r="D636" s="166"/>
      <c r="E636" s="63" t="s">
        <v>381</v>
      </c>
      <c r="F636" s="97">
        <v>2454</v>
      </c>
      <c r="G636" s="25">
        <v>2020</v>
      </c>
      <c r="H636" s="24">
        <v>110000</v>
      </c>
      <c r="I636" s="50">
        <v>0</v>
      </c>
      <c r="J636" s="58">
        <v>3210</v>
      </c>
      <c r="K636" s="24">
        <v>110000</v>
      </c>
      <c r="L636" s="35">
        <v>100</v>
      </c>
      <c r="M636" s="20"/>
      <c r="N636" s="20"/>
      <c r="O636" s="20"/>
      <c r="P636" s="20"/>
      <c r="Q636" s="20"/>
      <c r="R636" s="20">
        <f>9820+64860.14</f>
        <v>74680.14</v>
      </c>
      <c r="S636" s="20">
        <f>10000-9820-180</f>
        <v>0</v>
      </c>
      <c r="T636" s="20"/>
      <c r="U636" s="20"/>
      <c r="V636" s="20"/>
      <c r="W636" s="20">
        <f>100000-64680.14</f>
        <v>35319.86</v>
      </c>
      <c r="X636" s="20"/>
      <c r="Y636" s="118">
        <f t="shared" si="98"/>
        <v>0</v>
      </c>
      <c r="Z636" s="24">
        <f>9819.81+64860.33</f>
        <v>74680.14</v>
      </c>
      <c r="AA636" s="118">
        <f t="shared" si="95"/>
        <v>0</v>
      </c>
      <c r="AB636" s="118"/>
      <c r="AC636" s="24"/>
      <c r="AD636" s="118">
        <f t="shared" si="97"/>
        <v>35319.86</v>
      </c>
    </row>
    <row r="637" spans="1:30" ht="21">
      <c r="A637" s="169"/>
      <c r="B637" s="169"/>
      <c r="C637" s="169"/>
      <c r="D637" s="166"/>
      <c r="E637" s="100" t="s">
        <v>407</v>
      </c>
      <c r="F637" s="97">
        <v>2455</v>
      </c>
      <c r="G637" s="25">
        <v>2020</v>
      </c>
      <c r="H637" s="24">
        <v>1500000</v>
      </c>
      <c r="I637" s="50">
        <v>0</v>
      </c>
      <c r="J637" s="58">
        <v>3210</v>
      </c>
      <c r="K637" s="24">
        <v>1500000</v>
      </c>
      <c r="L637" s="35">
        <v>100</v>
      </c>
      <c r="M637" s="20"/>
      <c r="N637" s="20"/>
      <c r="O637" s="20"/>
      <c r="P637" s="20"/>
      <c r="Q637" s="20"/>
      <c r="R637" s="20"/>
      <c r="S637" s="20">
        <v>70000</v>
      </c>
      <c r="T637" s="20"/>
      <c r="U637" s="20"/>
      <c r="V637" s="20"/>
      <c r="W637" s="20">
        <v>1430000</v>
      </c>
      <c r="X637" s="20"/>
      <c r="Y637" s="118">
        <f t="shared" si="98"/>
        <v>0</v>
      </c>
      <c r="Z637" s="24">
        <v>60751.91</v>
      </c>
      <c r="AA637" s="118">
        <f t="shared" si="95"/>
        <v>9248.089999999997</v>
      </c>
      <c r="AB637" s="118"/>
      <c r="AC637" s="24"/>
      <c r="AD637" s="118">
        <f t="shared" si="97"/>
        <v>1439248.09</v>
      </c>
    </row>
    <row r="638" spans="1:30" ht="21">
      <c r="A638" s="169"/>
      <c r="B638" s="169"/>
      <c r="C638" s="169"/>
      <c r="D638" s="166"/>
      <c r="E638" s="100" t="s">
        <v>410</v>
      </c>
      <c r="F638" s="97">
        <v>2456</v>
      </c>
      <c r="G638" s="25">
        <v>2020</v>
      </c>
      <c r="H638" s="24">
        <v>1490000</v>
      </c>
      <c r="I638" s="50">
        <v>0</v>
      </c>
      <c r="J638" s="58">
        <v>3210</v>
      </c>
      <c r="K638" s="24">
        <v>1490000</v>
      </c>
      <c r="L638" s="35">
        <v>100</v>
      </c>
      <c r="M638" s="20"/>
      <c r="N638" s="20"/>
      <c r="O638" s="20"/>
      <c r="P638" s="20"/>
      <c r="Q638" s="20"/>
      <c r="R638" s="20"/>
      <c r="S638" s="20">
        <f>70000+900808.61</f>
        <v>970808.61</v>
      </c>
      <c r="T638" s="20"/>
      <c r="U638" s="20"/>
      <c r="V638" s="20"/>
      <c r="W638" s="20">
        <f>1420000-900808.61</f>
        <v>519191.39</v>
      </c>
      <c r="X638" s="20"/>
      <c r="Y638" s="118">
        <f t="shared" si="98"/>
        <v>0</v>
      </c>
      <c r="Z638" s="24">
        <f>60659.4+910149.21</f>
        <v>970808.61</v>
      </c>
      <c r="AA638" s="118">
        <f t="shared" si="95"/>
        <v>0</v>
      </c>
      <c r="AB638" s="118"/>
      <c r="AC638" s="24"/>
      <c r="AD638" s="118">
        <f t="shared" si="97"/>
        <v>519191.39</v>
      </c>
    </row>
    <row r="639" spans="1:30" ht="30.75">
      <c r="A639" s="169"/>
      <c r="B639" s="169"/>
      <c r="C639" s="169"/>
      <c r="D639" s="166"/>
      <c r="E639" s="105" t="s">
        <v>730</v>
      </c>
      <c r="F639" s="97">
        <v>2457</v>
      </c>
      <c r="G639" s="25">
        <v>2020</v>
      </c>
      <c r="H639" s="20">
        <v>1000000</v>
      </c>
      <c r="I639" s="50">
        <v>0</v>
      </c>
      <c r="J639" s="58">
        <v>3210</v>
      </c>
      <c r="K639" s="20">
        <v>1000000</v>
      </c>
      <c r="L639" s="35">
        <v>100</v>
      </c>
      <c r="M639" s="20"/>
      <c r="N639" s="20"/>
      <c r="O639" s="20"/>
      <c r="P639" s="20"/>
      <c r="Q639" s="20"/>
      <c r="R639" s="20">
        <f>31600</f>
        <v>31600</v>
      </c>
      <c r="S639" s="20">
        <f>50000-31600</f>
        <v>18400</v>
      </c>
      <c r="T639" s="20"/>
      <c r="U639" s="20"/>
      <c r="V639" s="20"/>
      <c r="W639" s="20">
        <v>950000</v>
      </c>
      <c r="X639" s="20"/>
      <c r="Y639" s="118">
        <f t="shared" si="98"/>
        <v>0</v>
      </c>
      <c r="Z639" s="24">
        <v>31511.34</v>
      </c>
      <c r="AA639" s="118">
        <f t="shared" si="95"/>
        <v>18488.66</v>
      </c>
      <c r="AB639" s="118"/>
      <c r="AC639" s="24"/>
      <c r="AD639" s="118">
        <f t="shared" si="97"/>
        <v>968488.66</v>
      </c>
    </row>
    <row r="640" spans="1:30" ht="30.75">
      <c r="A640" s="169"/>
      <c r="B640" s="169"/>
      <c r="C640" s="169"/>
      <c r="D640" s="166"/>
      <c r="E640" s="26" t="s">
        <v>399</v>
      </c>
      <c r="F640" s="97">
        <v>2458</v>
      </c>
      <c r="G640" s="25">
        <v>2020</v>
      </c>
      <c r="H640" s="24">
        <v>355600</v>
      </c>
      <c r="I640" s="50">
        <v>0</v>
      </c>
      <c r="J640" s="58">
        <v>3210</v>
      </c>
      <c r="K640" s="24">
        <v>355600</v>
      </c>
      <c r="L640" s="35">
        <v>100</v>
      </c>
      <c r="M640" s="20"/>
      <c r="N640" s="20"/>
      <c r="O640" s="20"/>
      <c r="P640" s="20"/>
      <c r="Q640" s="20"/>
      <c r="R640" s="20"/>
      <c r="S640" s="20">
        <v>20000</v>
      </c>
      <c r="T640" s="20"/>
      <c r="U640" s="20"/>
      <c r="V640" s="20"/>
      <c r="W640" s="20">
        <v>335600</v>
      </c>
      <c r="X640" s="20"/>
      <c r="Y640" s="118">
        <f t="shared" si="98"/>
        <v>0</v>
      </c>
      <c r="Z640" s="24"/>
      <c r="AA640" s="118">
        <f t="shared" si="95"/>
        <v>20000</v>
      </c>
      <c r="AB640" s="118"/>
      <c r="AC640" s="24"/>
      <c r="AD640" s="118">
        <f t="shared" si="97"/>
        <v>355600</v>
      </c>
    </row>
    <row r="641" spans="1:30" ht="21">
      <c r="A641" s="169"/>
      <c r="B641" s="169"/>
      <c r="C641" s="169"/>
      <c r="D641" s="166"/>
      <c r="E641" s="26" t="s">
        <v>402</v>
      </c>
      <c r="F641" s="97">
        <v>2459</v>
      </c>
      <c r="G641" s="25">
        <v>2020</v>
      </c>
      <c r="H641" s="24">
        <v>525041.09</v>
      </c>
      <c r="I641" s="50">
        <v>0</v>
      </c>
      <c r="J641" s="58">
        <v>3210</v>
      </c>
      <c r="K641" s="24">
        <v>525041.09</v>
      </c>
      <c r="L641" s="35">
        <v>100</v>
      </c>
      <c r="M641" s="20"/>
      <c r="N641" s="20">
        <v>525041.09</v>
      </c>
      <c r="O641" s="20"/>
      <c r="P641" s="20"/>
      <c r="Q641" s="20"/>
      <c r="R641" s="20"/>
      <c r="S641" s="20">
        <f>35000-35000</f>
        <v>0</v>
      </c>
      <c r="T641" s="20"/>
      <c r="U641" s="20"/>
      <c r="V641" s="20"/>
      <c r="W641" s="20">
        <f>490041.09-490041.09</f>
        <v>0</v>
      </c>
      <c r="X641" s="20"/>
      <c r="Y641" s="118">
        <f t="shared" si="98"/>
        <v>0</v>
      </c>
      <c r="Z641" s="24">
        <v>525041.09</v>
      </c>
      <c r="AA641" s="118">
        <f t="shared" si="95"/>
        <v>0</v>
      </c>
      <c r="AB641" s="118"/>
      <c r="AC641" s="24"/>
      <c r="AD641" s="118">
        <f t="shared" si="97"/>
        <v>0</v>
      </c>
    </row>
    <row r="642" spans="1:30" ht="30.75">
      <c r="A642" s="169"/>
      <c r="B642" s="169"/>
      <c r="C642" s="169"/>
      <c r="D642" s="166"/>
      <c r="E642" s="28" t="s">
        <v>367</v>
      </c>
      <c r="F642" s="97">
        <v>2460</v>
      </c>
      <c r="G642" s="25">
        <v>2020</v>
      </c>
      <c r="H642" s="20">
        <v>545000</v>
      </c>
      <c r="I642" s="50">
        <v>0</v>
      </c>
      <c r="J642" s="58">
        <v>3210</v>
      </c>
      <c r="K642" s="20">
        <f>545000-400000</f>
        <v>145000</v>
      </c>
      <c r="L642" s="35">
        <v>100</v>
      </c>
      <c r="M642" s="20"/>
      <c r="N642" s="20"/>
      <c r="O642" s="20"/>
      <c r="P642" s="20"/>
      <c r="Q642" s="20"/>
      <c r="R642" s="20"/>
      <c r="S642" s="20">
        <f>35000+106338.92</f>
        <v>141338.91999999998</v>
      </c>
      <c r="T642" s="20"/>
      <c r="U642" s="20"/>
      <c r="V642" s="20"/>
      <c r="W642" s="20">
        <f>510000-400000-106338.92</f>
        <v>3661.0800000000017</v>
      </c>
      <c r="X642" s="20"/>
      <c r="Y642" s="118">
        <f t="shared" si="98"/>
        <v>1.4551915228366852E-11</v>
      </c>
      <c r="Z642" s="24">
        <f>14336.52+127002.4</f>
        <v>141338.91999999998</v>
      </c>
      <c r="AA642" s="118">
        <f t="shared" si="95"/>
        <v>0</v>
      </c>
      <c r="AB642" s="118"/>
      <c r="AC642" s="24"/>
      <c r="AD642" s="118">
        <f t="shared" si="97"/>
        <v>3661.0800000000163</v>
      </c>
    </row>
    <row r="643" spans="1:30" ht="21">
      <c r="A643" s="169"/>
      <c r="B643" s="169"/>
      <c r="C643" s="169"/>
      <c r="D643" s="166"/>
      <c r="E643" s="26" t="s">
        <v>401</v>
      </c>
      <c r="F643" s="97">
        <v>2461</v>
      </c>
      <c r="G643" s="25">
        <v>2020</v>
      </c>
      <c r="H643" s="24">
        <v>37909.43</v>
      </c>
      <c r="I643" s="50">
        <v>0</v>
      </c>
      <c r="J643" s="58">
        <v>3210</v>
      </c>
      <c r="K643" s="24">
        <v>37909.43</v>
      </c>
      <c r="L643" s="35">
        <v>100</v>
      </c>
      <c r="M643" s="20"/>
      <c r="N643" s="20">
        <v>37909.43</v>
      </c>
      <c r="O643" s="20"/>
      <c r="P643" s="20"/>
      <c r="Q643" s="20"/>
      <c r="R643" s="20"/>
      <c r="S643" s="20">
        <f>37909.43-37909.43</f>
        <v>0</v>
      </c>
      <c r="T643" s="20"/>
      <c r="U643" s="20"/>
      <c r="V643" s="20"/>
      <c r="W643" s="20">
        <v>0</v>
      </c>
      <c r="X643" s="20"/>
      <c r="Y643" s="118">
        <f t="shared" si="98"/>
        <v>0</v>
      </c>
      <c r="Z643" s="24">
        <v>37909.43</v>
      </c>
      <c r="AA643" s="118">
        <f t="shared" si="95"/>
        <v>0</v>
      </c>
      <c r="AB643" s="118"/>
      <c r="AC643" s="24"/>
      <c r="AD643" s="118">
        <f t="shared" si="97"/>
        <v>0</v>
      </c>
    </row>
    <row r="644" spans="1:30" ht="30.75">
      <c r="A644" s="169"/>
      <c r="B644" s="169"/>
      <c r="C644" s="169"/>
      <c r="D644" s="166"/>
      <c r="E644" s="63" t="s">
        <v>377</v>
      </c>
      <c r="F644" s="97">
        <v>2462</v>
      </c>
      <c r="G644" s="25">
        <v>2020</v>
      </c>
      <c r="H644" s="24">
        <v>130000</v>
      </c>
      <c r="I644" s="50">
        <v>0</v>
      </c>
      <c r="J644" s="58">
        <v>3210</v>
      </c>
      <c r="K644" s="24">
        <v>130000</v>
      </c>
      <c r="L644" s="35">
        <v>100</v>
      </c>
      <c r="M644" s="20"/>
      <c r="N644" s="20"/>
      <c r="O644" s="20"/>
      <c r="P644" s="20"/>
      <c r="Q644" s="20"/>
      <c r="R644" s="20">
        <f>12065+99044.95</f>
        <v>111109.95</v>
      </c>
      <c r="S644" s="20">
        <f>100000-12065-87935</f>
        <v>0</v>
      </c>
      <c r="T644" s="20"/>
      <c r="U644" s="20"/>
      <c r="V644" s="20"/>
      <c r="W644" s="20">
        <f>30000-11109.95</f>
        <v>18890.05</v>
      </c>
      <c r="X644" s="20"/>
      <c r="Y644" s="118">
        <f t="shared" si="98"/>
        <v>3.637978807091713E-12</v>
      </c>
      <c r="Z644" s="24">
        <f>12064.66+99045.29</f>
        <v>111109.95</v>
      </c>
      <c r="AA644" s="118">
        <f t="shared" si="95"/>
        <v>0</v>
      </c>
      <c r="AB644" s="118"/>
      <c r="AC644" s="24"/>
      <c r="AD644" s="118">
        <f t="shared" si="97"/>
        <v>18890.050000000003</v>
      </c>
    </row>
    <row r="645" spans="1:30" ht="21">
      <c r="A645" s="169"/>
      <c r="B645" s="169"/>
      <c r="C645" s="169"/>
      <c r="D645" s="166"/>
      <c r="E645" s="100" t="s">
        <v>411</v>
      </c>
      <c r="F645" s="97">
        <v>2463</v>
      </c>
      <c r="G645" s="25">
        <v>2020</v>
      </c>
      <c r="H645" s="24">
        <v>1570000</v>
      </c>
      <c r="I645" s="50">
        <v>0</v>
      </c>
      <c r="J645" s="58">
        <v>3210</v>
      </c>
      <c r="K645" s="24">
        <v>1570000</v>
      </c>
      <c r="L645" s="35">
        <v>100</v>
      </c>
      <c r="M645" s="20"/>
      <c r="N645" s="20"/>
      <c r="O645" s="20"/>
      <c r="P645" s="20"/>
      <c r="Q645" s="20"/>
      <c r="R645" s="20"/>
      <c r="S645" s="20">
        <f>70000+702004.41</f>
        <v>772004.41</v>
      </c>
      <c r="T645" s="20"/>
      <c r="U645" s="20"/>
      <c r="V645" s="20"/>
      <c r="W645" s="20">
        <f>1500000-702004.41</f>
        <v>797995.59</v>
      </c>
      <c r="X645" s="20"/>
      <c r="Y645" s="118">
        <f t="shared" si="98"/>
        <v>0</v>
      </c>
      <c r="Z645" s="24">
        <f>51001.42+721002.99</f>
        <v>772004.41</v>
      </c>
      <c r="AA645" s="118">
        <f t="shared" si="95"/>
        <v>0</v>
      </c>
      <c r="AB645" s="118"/>
      <c r="AC645" s="24"/>
      <c r="AD645" s="118">
        <f t="shared" si="97"/>
        <v>797995.59</v>
      </c>
    </row>
    <row r="646" spans="1:30" ht="30.75">
      <c r="A646" s="169"/>
      <c r="B646" s="169"/>
      <c r="C646" s="169"/>
      <c r="D646" s="166"/>
      <c r="E646" s="63" t="s">
        <v>386</v>
      </c>
      <c r="F646" s="97">
        <v>2464</v>
      </c>
      <c r="G646" s="25">
        <v>2020</v>
      </c>
      <c r="H646" s="24">
        <v>1590000</v>
      </c>
      <c r="I646" s="50">
        <v>0</v>
      </c>
      <c r="J646" s="58">
        <v>3210</v>
      </c>
      <c r="K646" s="24">
        <v>1590000</v>
      </c>
      <c r="L646" s="35">
        <v>100</v>
      </c>
      <c r="M646" s="20"/>
      <c r="N646" s="20"/>
      <c r="O646" s="20"/>
      <c r="P646" s="20"/>
      <c r="Q646" s="20"/>
      <c r="R646" s="20"/>
      <c r="S646" s="20">
        <f>70000+881585.74</f>
        <v>951585.74</v>
      </c>
      <c r="T646" s="20"/>
      <c r="U646" s="20"/>
      <c r="V646" s="20"/>
      <c r="W646" s="20">
        <f>1520000-881585.74</f>
        <v>638414.26</v>
      </c>
      <c r="X646" s="20"/>
      <c r="Y646" s="118">
        <f t="shared" si="98"/>
        <v>0</v>
      </c>
      <c r="Z646" s="24">
        <f>59768.6+891817.14</f>
        <v>951585.74</v>
      </c>
      <c r="AA646" s="118">
        <f t="shared" si="95"/>
        <v>0</v>
      </c>
      <c r="AB646" s="118"/>
      <c r="AC646" s="24"/>
      <c r="AD646" s="118">
        <f t="shared" si="97"/>
        <v>638414.26</v>
      </c>
    </row>
    <row r="647" spans="1:30" ht="30.75" hidden="1">
      <c r="A647" s="169"/>
      <c r="B647" s="169"/>
      <c r="C647" s="169"/>
      <c r="D647" s="166"/>
      <c r="E647" s="100" t="s">
        <v>409</v>
      </c>
      <c r="F647" s="97">
        <v>2465</v>
      </c>
      <c r="G647" s="25">
        <v>2020</v>
      </c>
      <c r="H647" s="24">
        <v>780000</v>
      </c>
      <c r="I647" s="50">
        <v>0</v>
      </c>
      <c r="J647" s="58">
        <v>3210</v>
      </c>
      <c r="K647" s="24">
        <f>780000-780000</f>
        <v>0</v>
      </c>
      <c r="L647" s="35">
        <v>100</v>
      </c>
      <c r="M647" s="20"/>
      <c r="N647" s="20"/>
      <c r="O647" s="20"/>
      <c r="P647" s="20"/>
      <c r="Q647" s="20"/>
      <c r="R647" s="20"/>
      <c r="S647" s="20">
        <f>40000-40000</f>
        <v>0</v>
      </c>
      <c r="T647" s="20"/>
      <c r="U647" s="20"/>
      <c r="V647" s="20"/>
      <c r="W647" s="20">
        <f>740000-740000</f>
        <v>0</v>
      </c>
      <c r="X647" s="20"/>
      <c r="Y647" s="118">
        <f t="shared" si="98"/>
        <v>0</v>
      </c>
      <c r="Z647" s="24"/>
      <c r="AA647" s="118">
        <f t="shared" si="95"/>
        <v>0</v>
      </c>
      <c r="AB647" s="118"/>
      <c r="AC647" s="24"/>
      <c r="AD647" s="118">
        <f t="shared" si="97"/>
        <v>0</v>
      </c>
    </row>
    <row r="648" spans="1:30" ht="30.75">
      <c r="A648" s="169"/>
      <c r="B648" s="169"/>
      <c r="C648" s="169"/>
      <c r="D648" s="166"/>
      <c r="E648" s="63" t="s">
        <v>389</v>
      </c>
      <c r="F648" s="97">
        <v>2466</v>
      </c>
      <c r="G648" s="25">
        <v>2020</v>
      </c>
      <c r="H648" s="24">
        <v>1510000</v>
      </c>
      <c r="I648" s="50">
        <v>0</v>
      </c>
      <c r="J648" s="58">
        <v>3210</v>
      </c>
      <c r="K648" s="24">
        <v>1510000</v>
      </c>
      <c r="L648" s="35">
        <v>100</v>
      </c>
      <c r="M648" s="20"/>
      <c r="N648" s="20"/>
      <c r="O648" s="20"/>
      <c r="P648" s="20"/>
      <c r="Q648" s="20"/>
      <c r="R648" s="20"/>
      <c r="S648" s="20">
        <f>70000+691946.99</f>
        <v>761946.99</v>
      </c>
      <c r="T648" s="20"/>
      <c r="U648" s="20"/>
      <c r="V648" s="20"/>
      <c r="W648" s="20">
        <f>428776.05-428776.05</f>
        <v>0</v>
      </c>
      <c r="X648" s="20">
        <f>1011223.95-263170.94</f>
        <v>748053.01</v>
      </c>
      <c r="Y648" s="118">
        <f t="shared" si="98"/>
        <v>0</v>
      </c>
      <c r="Z648" s="24">
        <f>50815.51+711131.48</f>
        <v>761946.99</v>
      </c>
      <c r="AA648" s="118">
        <f t="shared" si="95"/>
        <v>0</v>
      </c>
      <c r="AB648" s="118"/>
      <c r="AC648" s="24"/>
      <c r="AD648" s="118">
        <f t="shared" si="97"/>
        <v>748053.01</v>
      </c>
    </row>
    <row r="649" spans="1:30" ht="30.75">
      <c r="A649" s="169"/>
      <c r="B649" s="169"/>
      <c r="C649" s="169"/>
      <c r="D649" s="166"/>
      <c r="E649" s="63" t="s">
        <v>378</v>
      </c>
      <c r="F649" s="97">
        <v>2467</v>
      </c>
      <c r="G649" s="25">
        <v>2020</v>
      </c>
      <c r="H649" s="24">
        <v>120000</v>
      </c>
      <c r="I649" s="50">
        <v>0</v>
      </c>
      <c r="J649" s="58">
        <v>3210</v>
      </c>
      <c r="K649" s="24">
        <v>120000</v>
      </c>
      <c r="L649" s="35">
        <v>100</v>
      </c>
      <c r="M649" s="20"/>
      <c r="N649" s="20"/>
      <c r="O649" s="20"/>
      <c r="P649" s="20"/>
      <c r="Q649" s="20"/>
      <c r="R649" s="20">
        <f>9048+53015.52</f>
        <v>62063.52</v>
      </c>
      <c r="S649" s="20">
        <f>10000-9379.34-620.66</f>
        <v>0</v>
      </c>
      <c r="T649" s="20"/>
      <c r="U649" s="20"/>
      <c r="V649" s="20"/>
      <c r="W649" s="20">
        <f>331.34</f>
        <v>331.34</v>
      </c>
      <c r="X649" s="20">
        <f>110000-52394.86</f>
        <v>57605.14</v>
      </c>
      <c r="Y649" s="118">
        <f t="shared" si="98"/>
        <v>0</v>
      </c>
      <c r="Z649" s="24">
        <f>9047.9+53015.62</f>
        <v>62063.520000000004</v>
      </c>
      <c r="AA649" s="118">
        <f t="shared" si="95"/>
        <v>0</v>
      </c>
      <c r="AB649" s="118"/>
      <c r="AC649" s="24"/>
      <c r="AD649" s="118">
        <f t="shared" si="97"/>
        <v>57936.479999999996</v>
      </c>
    </row>
    <row r="650" spans="1:30" ht="30.75">
      <c r="A650" s="169"/>
      <c r="B650" s="169"/>
      <c r="C650" s="169"/>
      <c r="D650" s="166"/>
      <c r="E650" s="26" t="s">
        <v>403</v>
      </c>
      <c r="F650" s="97">
        <v>2468</v>
      </c>
      <c r="G650" s="25">
        <v>2020</v>
      </c>
      <c r="H650" s="24">
        <v>1056490.32</v>
      </c>
      <c r="I650" s="50">
        <v>0</v>
      </c>
      <c r="J650" s="58">
        <v>3210</v>
      </c>
      <c r="K650" s="24">
        <v>1056490.32</v>
      </c>
      <c r="L650" s="35">
        <v>100</v>
      </c>
      <c r="M650" s="20"/>
      <c r="N650" s="20">
        <v>1056490.32</v>
      </c>
      <c r="O650" s="20"/>
      <c r="P650" s="20">
        <f>59228.98-59228.98</f>
        <v>0</v>
      </c>
      <c r="Q650" s="20"/>
      <c r="R650" s="20"/>
      <c r="S650" s="20"/>
      <c r="T650" s="20"/>
      <c r="U650" s="20"/>
      <c r="V650" s="20"/>
      <c r="W650" s="20"/>
      <c r="X650" s="20">
        <f>997261.34-997261.34</f>
        <v>0</v>
      </c>
      <c r="Y650" s="118">
        <f t="shared" si="98"/>
        <v>0</v>
      </c>
      <c r="Z650" s="24">
        <v>1056490.32</v>
      </c>
      <c r="AA650" s="118">
        <f t="shared" si="95"/>
        <v>0</v>
      </c>
      <c r="AB650" s="118"/>
      <c r="AC650" s="24"/>
      <c r="AD650" s="118">
        <f t="shared" si="97"/>
        <v>0</v>
      </c>
    </row>
    <row r="651" spans="1:30" ht="46.5">
      <c r="A651" s="169"/>
      <c r="B651" s="169"/>
      <c r="C651" s="169"/>
      <c r="D651" s="166"/>
      <c r="E651" s="100" t="s">
        <v>405</v>
      </c>
      <c r="F651" s="97">
        <v>2469</v>
      </c>
      <c r="G651" s="25">
        <v>2020</v>
      </c>
      <c r="H651" s="24">
        <v>1512000</v>
      </c>
      <c r="I651" s="50">
        <v>0</v>
      </c>
      <c r="J651" s="58">
        <v>3210</v>
      </c>
      <c r="K651" s="24">
        <v>1512000</v>
      </c>
      <c r="L651" s="35">
        <v>100</v>
      </c>
      <c r="M651" s="20"/>
      <c r="N651" s="20"/>
      <c r="O651" s="20"/>
      <c r="P651" s="20">
        <f>36245.2</f>
        <v>36245.2</v>
      </c>
      <c r="Q651" s="20"/>
      <c r="R651" s="20"/>
      <c r="S651" s="20">
        <f>70000-36245.2-20716.87</f>
        <v>13037.930000000004</v>
      </c>
      <c r="T651" s="20"/>
      <c r="U651" s="20"/>
      <c r="V651" s="20"/>
      <c r="W651" s="20"/>
      <c r="X651" s="20">
        <f>1442000+20716.87</f>
        <v>1462716.87</v>
      </c>
      <c r="Y651" s="118">
        <f t="shared" si="98"/>
        <v>0</v>
      </c>
      <c r="Z651" s="24">
        <f>36180</f>
        <v>36180</v>
      </c>
      <c r="AA651" s="118">
        <f t="shared" si="95"/>
        <v>13103.130000000005</v>
      </c>
      <c r="AB651" s="118"/>
      <c r="AC651" s="24"/>
      <c r="AD651" s="118">
        <f t="shared" si="97"/>
        <v>1475820</v>
      </c>
    </row>
    <row r="652" spans="1:30" ht="46.5">
      <c r="A652" s="169"/>
      <c r="B652" s="169"/>
      <c r="C652" s="169"/>
      <c r="D652" s="166"/>
      <c r="E652" s="100" t="s">
        <v>406</v>
      </c>
      <c r="F652" s="97">
        <v>2470</v>
      </c>
      <c r="G652" s="25">
        <v>2020</v>
      </c>
      <c r="H652" s="24">
        <v>1638000</v>
      </c>
      <c r="I652" s="50">
        <v>0</v>
      </c>
      <c r="J652" s="58">
        <v>3210</v>
      </c>
      <c r="K652" s="24">
        <v>1638000</v>
      </c>
      <c r="L652" s="35">
        <v>100</v>
      </c>
      <c r="M652" s="20"/>
      <c r="N652" s="20"/>
      <c r="O652" s="20"/>
      <c r="P652" s="20">
        <f>36180</f>
        <v>36180</v>
      </c>
      <c r="Q652" s="20"/>
      <c r="R652" s="20">
        <f>65.2</f>
        <v>65.2</v>
      </c>
      <c r="S652" s="20">
        <f>80000-36180-65.2</f>
        <v>43754.8</v>
      </c>
      <c r="T652" s="20"/>
      <c r="U652" s="20"/>
      <c r="V652" s="20"/>
      <c r="W652" s="20"/>
      <c r="X652" s="20">
        <v>1558000</v>
      </c>
      <c r="Y652" s="118">
        <f t="shared" si="98"/>
        <v>0</v>
      </c>
      <c r="Z652" s="24">
        <v>36245.2</v>
      </c>
      <c r="AA652" s="118">
        <f t="shared" si="95"/>
        <v>43754.8</v>
      </c>
      <c r="AB652" s="118"/>
      <c r="AC652" s="24"/>
      <c r="AD652" s="118">
        <f t="shared" si="97"/>
        <v>1601754.8</v>
      </c>
    </row>
    <row r="653" spans="1:30" ht="30.75">
      <c r="A653" s="169"/>
      <c r="B653" s="169"/>
      <c r="C653" s="169"/>
      <c r="D653" s="166"/>
      <c r="E653" s="47" t="s">
        <v>686</v>
      </c>
      <c r="F653" s="135"/>
      <c r="G653" s="20"/>
      <c r="H653" s="21"/>
      <c r="I653" s="50"/>
      <c r="J653" s="58"/>
      <c r="K653" s="23">
        <f>SUM(K654:K659)</f>
        <v>3499000</v>
      </c>
      <c r="L653" s="23">
        <f aca="true" t="shared" si="99" ref="L653:Z653">SUM(L654:L659)</f>
        <v>300</v>
      </c>
      <c r="M653" s="23">
        <f t="shared" si="99"/>
        <v>0</v>
      </c>
      <c r="N653" s="23">
        <f t="shared" si="99"/>
        <v>0</v>
      </c>
      <c r="O653" s="23">
        <f t="shared" si="99"/>
        <v>0</v>
      </c>
      <c r="P653" s="23">
        <f t="shared" si="99"/>
        <v>0</v>
      </c>
      <c r="Q653" s="23">
        <f t="shared" si="99"/>
        <v>0</v>
      </c>
      <c r="R653" s="23">
        <f t="shared" si="99"/>
        <v>0</v>
      </c>
      <c r="S653" s="23">
        <f t="shared" si="99"/>
        <v>0</v>
      </c>
      <c r="T653" s="23">
        <f t="shared" si="99"/>
        <v>0</v>
      </c>
      <c r="U653" s="23">
        <f t="shared" si="99"/>
        <v>0</v>
      </c>
      <c r="V653" s="23">
        <f t="shared" si="99"/>
        <v>700000</v>
      </c>
      <c r="W653" s="23">
        <f t="shared" si="99"/>
        <v>1799000</v>
      </c>
      <c r="X653" s="23">
        <f t="shared" si="99"/>
        <v>1000000</v>
      </c>
      <c r="Y653" s="118">
        <f t="shared" si="98"/>
        <v>0</v>
      </c>
      <c r="Z653" s="23">
        <f t="shared" si="99"/>
        <v>0</v>
      </c>
      <c r="AA653" s="118">
        <f t="shared" si="95"/>
        <v>0</v>
      </c>
      <c r="AB653" s="118"/>
      <c r="AC653" s="24"/>
      <c r="AD653" s="118">
        <f t="shared" si="97"/>
        <v>3499000</v>
      </c>
    </row>
    <row r="654" spans="1:30" ht="21" hidden="1">
      <c r="A654" s="169"/>
      <c r="B654" s="169"/>
      <c r="C654" s="169"/>
      <c r="D654" s="166"/>
      <c r="E654" s="105" t="s">
        <v>690</v>
      </c>
      <c r="F654" s="97">
        <v>2471</v>
      </c>
      <c r="G654" s="25"/>
      <c r="H654" s="24"/>
      <c r="I654" s="50"/>
      <c r="J654" s="58">
        <v>3210</v>
      </c>
      <c r="K654" s="24">
        <f>1500000-1500000</f>
        <v>0</v>
      </c>
      <c r="L654" s="35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>
        <f>1500000-1500000</f>
        <v>0</v>
      </c>
      <c r="Y654" s="118">
        <f t="shared" si="98"/>
        <v>0</v>
      </c>
      <c r="Z654" s="24"/>
      <c r="AA654" s="118">
        <f t="shared" si="95"/>
        <v>0</v>
      </c>
      <c r="AB654" s="118"/>
      <c r="AC654" s="24"/>
      <c r="AD654" s="118">
        <f t="shared" si="97"/>
        <v>0</v>
      </c>
    </row>
    <row r="655" spans="1:30" ht="21">
      <c r="A655" s="169"/>
      <c r="B655" s="169"/>
      <c r="C655" s="169"/>
      <c r="D655" s="166"/>
      <c r="E655" s="105" t="s">
        <v>691</v>
      </c>
      <c r="F655" s="97">
        <v>2472</v>
      </c>
      <c r="G655" s="25"/>
      <c r="H655" s="24"/>
      <c r="I655" s="50"/>
      <c r="J655" s="58">
        <v>3210</v>
      </c>
      <c r="K655" s="24">
        <v>1000000</v>
      </c>
      <c r="L655" s="35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>
        <v>1000000</v>
      </c>
      <c r="Y655" s="118">
        <f t="shared" si="98"/>
        <v>0</v>
      </c>
      <c r="Z655" s="24"/>
      <c r="AA655" s="118">
        <f t="shared" si="95"/>
        <v>0</v>
      </c>
      <c r="AB655" s="118"/>
      <c r="AC655" s="24"/>
      <c r="AD655" s="118">
        <f t="shared" si="97"/>
        <v>1000000</v>
      </c>
    </row>
    <row r="656" spans="1:30" ht="21" hidden="1">
      <c r="A656" s="169"/>
      <c r="B656" s="169"/>
      <c r="C656" s="169"/>
      <c r="D656" s="166"/>
      <c r="E656" s="105" t="s">
        <v>692</v>
      </c>
      <c r="F656" s="97">
        <v>2473</v>
      </c>
      <c r="G656" s="25"/>
      <c r="H656" s="24"/>
      <c r="I656" s="50"/>
      <c r="J656" s="58">
        <v>3210</v>
      </c>
      <c r="K656" s="24">
        <f>4000000-4000000</f>
        <v>0</v>
      </c>
      <c r="L656" s="35"/>
      <c r="M656" s="20"/>
      <c r="N656" s="20"/>
      <c r="O656" s="20"/>
      <c r="P656" s="20"/>
      <c r="Q656" s="20"/>
      <c r="R656" s="20"/>
      <c r="S656" s="20">
        <f>1000000-1000000</f>
        <v>0</v>
      </c>
      <c r="T656" s="20">
        <f>1000000-1000000</f>
        <v>0</v>
      </c>
      <c r="U656" s="20">
        <f>2000000-2000000</f>
        <v>0</v>
      </c>
      <c r="V656" s="20"/>
      <c r="W656" s="20"/>
      <c r="X656" s="20"/>
      <c r="Y656" s="118">
        <f t="shared" si="98"/>
        <v>0</v>
      </c>
      <c r="Z656" s="24"/>
      <c r="AA656" s="118">
        <f t="shared" si="95"/>
        <v>0</v>
      </c>
      <c r="AB656" s="118"/>
      <c r="AC656" s="24"/>
      <c r="AD656" s="118">
        <f t="shared" si="97"/>
        <v>0</v>
      </c>
    </row>
    <row r="657" spans="1:30" ht="46.5">
      <c r="A657" s="169"/>
      <c r="B657" s="169"/>
      <c r="C657" s="169"/>
      <c r="D657" s="166"/>
      <c r="E657" s="105" t="s">
        <v>687</v>
      </c>
      <c r="F657" s="97">
        <v>2474</v>
      </c>
      <c r="G657" s="25">
        <v>2020</v>
      </c>
      <c r="H657" s="24">
        <v>1800000</v>
      </c>
      <c r="I657" s="50">
        <v>0</v>
      </c>
      <c r="J657" s="58">
        <v>3210</v>
      </c>
      <c r="K657" s="24">
        <f>1800000-1000</f>
        <v>1799000</v>
      </c>
      <c r="L657" s="35">
        <v>100</v>
      </c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>
        <f>1800000-1000</f>
        <v>1799000</v>
      </c>
      <c r="X657" s="20"/>
      <c r="Y657" s="118">
        <f t="shared" si="98"/>
        <v>0</v>
      </c>
      <c r="Z657" s="24"/>
      <c r="AA657" s="118">
        <f t="shared" si="95"/>
        <v>0</v>
      </c>
      <c r="AB657" s="118"/>
      <c r="AC657" s="24"/>
      <c r="AD657" s="118">
        <f t="shared" si="97"/>
        <v>1799000</v>
      </c>
    </row>
    <row r="658" spans="1:30" ht="30.75">
      <c r="A658" s="169"/>
      <c r="B658" s="169"/>
      <c r="C658" s="169"/>
      <c r="D658" s="166"/>
      <c r="E658" s="105" t="s">
        <v>688</v>
      </c>
      <c r="F658" s="97">
        <v>2475</v>
      </c>
      <c r="G658" s="25">
        <v>2020</v>
      </c>
      <c r="H658" s="24">
        <v>300000</v>
      </c>
      <c r="I658" s="50">
        <v>0</v>
      </c>
      <c r="J658" s="58">
        <v>3210</v>
      </c>
      <c r="K658" s="24">
        <v>300000</v>
      </c>
      <c r="L658" s="35">
        <v>100</v>
      </c>
      <c r="M658" s="20"/>
      <c r="N658" s="20"/>
      <c r="O658" s="20"/>
      <c r="P658" s="20"/>
      <c r="Q658" s="20"/>
      <c r="R658" s="20"/>
      <c r="S658" s="20"/>
      <c r="T658" s="20"/>
      <c r="U658" s="20"/>
      <c r="V658" s="20">
        <v>300000</v>
      </c>
      <c r="W658" s="20"/>
      <c r="X658" s="20"/>
      <c r="Y658" s="118">
        <f t="shared" si="98"/>
        <v>0</v>
      </c>
      <c r="Z658" s="24"/>
      <c r="AA658" s="118">
        <f t="shared" si="95"/>
        <v>0</v>
      </c>
      <c r="AB658" s="118"/>
      <c r="AC658" s="24"/>
      <c r="AD658" s="118">
        <f t="shared" si="97"/>
        <v>300000</v>
      </c>
    </row>
    <row r="659" spans="1:30" ht="30.75">
      <c r="A659" s="169"/>
      <c r="B659" s="169"/>
      <c r="C659" s="169"/>
      <c r="D659" s="166"/>
      <c r="E659" s="105" t="s">
        <v>689</v>
      </c>
      <c r="F659" s="97">
        <v>2476</v>
      </c>
      <c r="G659" s="25">
        <v>2020</v>
      </c>
      <c r="H659" s="24">
        <v>400000</v>
      </c>
      <c r="I659" s="50">
        <v>0</v>
      </c>
      <c r="J659" s="58">
        <v>3210</v>
      </c>
      <c r="K659" s="24">
        <v>400000</v>
      </c>
      <c r="L659" s="35">
        <v>100</v>
      </c>
      <c r="M659" s="20"/>
      <c r="N659" s="20"/>
      <c r="O659" s="20"/>
      <c r="P659" s="20"/>
      <c r="Q659" s="20"/>
      <c r="R659" s="20"/>
      <c r="S659" s="20"/>
      <c r="T659" s="20"/>
      <c r="U659" s="20"/>
      <c r="V659" s="20">
        <v>400000</v>
      </c>
      <c r="W659" s="20"/>
      <c r="X659" s="20"/>
      <c r="Y659" s="118">
        <f t="shared" si="98"/>
        <v>0</v>
      </c>
      <c r="Z659" s="24"/>
      <c r="AA659" s="118">
        <f aca="true" t="shared" si="100" ref="AA659:AA722">M659+N659+O659+P659+Q659+R659+S659-Z659</f>
        <v>0</v>
      </c>
      <c r="AB659" s="118"/>
      <c r="AC659" s="24"/>
      <c r="AD659" s="118">
        <f t="shared" si="97"/>
        <v>400000</v>
      </c>
    </row>
    <row r="660" spans="1:30" s="22" customFormat="1" ht="21" hidden="1">
      <c r="A660" s="173" t="s">
        <v>126</v>
      </c>
      <c r="B660" s="174">
        <v>8120</v>
      </c>
      <c r="C660" s="197"/>
      <c r="D660" s="184" t="s">
        <v>127</v>
      </c>
      <c r="E660" s="28"/>
      <c r="F660" s="99"/>
      <c r="G660" s="20"/>
      <c r="H660" s="21"/>
      <c r="I660" s="33"/>
      <c r="J660" s="58"/>
      <c r="K660" s="20"/>
      <c r="L660" s="35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118">
        <f t="shared" si="98"/>
        <v>0</v>
      </c>
      <c r="Z660" s="24"/>
      <c r="AA660" s="118">
        <f t="shared" si="100"/>
        <v>0</v>
      </c>
      <c r="AB660" s="118"/>
      <c r="AC660" s="24"/>
      <c r="AD660" s="118">
        <f t="shared" si="97"/>
        <v>0</v>
      </c>
    </row>
    <row r="661" spans="1:30" s="22" customFormat="1" ht="21" hidden="1">
      <c r="A661" s="173"/>
      <c r="B661" s="174"/>
      <c r="C661" s="197"/>
      <c r="D661" s="184"/>
      <c r="E661" s="28"/>
      <c r="F661" s="99"/>
      <c r="G661" s="20"/>
      <c r="H661" s="21"/>
      <c r="I661" s="33"/>
      <c r="J661" s="58"/>
      <c r="K661" s="20"/>
      <c r="L661" s="35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118">
        <f t="shared" si="98"/>
        <v>0</v>
      </c>
      <c r="Z661" s="24"/>
      <c r="AA661" s="118">
        <f t="shared" si="100"/>
        <v>0</v>
      </c>
      <c r="AB661" s="118"/>
      <c r="AC661" s="24"/>
      <c r="AD661" s="118">
        <f t="shared" si="97"/>
        <v>0</v>
      </c>
    </row>
    <row r="662" spans="1:30" s="22" customFormat="1" ht="21">
      <c r="A662" s="175" t="s">
        <v>895</v>
      </c>
      <c r="B662" s="113"/>
      <c r="C662" s="115"/>
      <c r="D662" s="181" t="s">
        <v>896</v>
      </c>
      <c r="E662" s="28"/>
      <c r="F662" s="99"/>
      <c r="G662" s="20"/>
      <c r="H662" s="21"/>
      <c r="I662" s="33"/>
      <c r="J662" s="58"/>
      <c r="K662" s="23">
        <f>K663</f>
        <v>600000</v>
      </c>
      <c r="L662" s="23">
        <f aca="true" t="shared" si="101" ref="L662:Z662">L663</f>
        <v>0</v>
      </c>
      <c r="M662" s="23">
        <f t="shared" si="101"/>
        <v>0</v>
      </c>
      <c r="N662" s="23">
        <f t="shared" si="101"/>
        <v>0</v>
      </c>
      <c r="O662" s="23">
        <f t="shared" si="101"/>
        <v>600000</v>
      </c>
      <c r="P662" s="23">
        <f t="shared" si="101"/>
        <v>0</v>
      </c>
      <c r="Q662" s="23">
        <f t="shared" si="101"/>
        <v>0</v>
      </c>
      <c r="R662" s="23">
        <f t="shared" si="101"/>
        <v>0</v>
      </c>
      <c r="S662" s="23">
        <f t="shared" si="101"/>
        <v>0</v>
      </c>
      <c r="T662" s="23">
        <f t="shared" si="101"/>
        <v>0</v>
      </c>
      <c r="U662" s="23">
        <f t="shared" si="101"/>
        <v>0</v>
      </c>
      <c r="V662" s="23">
        <f t="shared" si="101"/>
        <v>0</v>
      </c>
      <c r="W662" s="23">
        <f t="shared" si="101"/>
        <v>0</v>
      </c>
      <c r="X662" s="23">
        <f t="shared" si="101"/>
        <v>0</v>
      </c>
      <c r="Y662" s="118">
        <f t="shared" si="98"/>
        <v>0</v>
      </c>
      <c r="Z662" s="23">
        <f t="shared" si="101"/>
        <v>573960</v>
      </c>
      <c r="AA662" s="118">
        <f t="shared" si="100"/>
        <v>26040</v>
      </c>
      <c r="AB662" s="118"/>
      <c r="AC662" s="24"/>
      <c r="AD662" s="118">
        <f t="shared" si="97"/>
        <v>26040</v>
      </c>
    </row>
    <row r="663" spans="1:30" s="22" customFormat="1" ht="21">
      <c r="A663" s="177"/>
      <c r="B663" s="113"/>
      <c r="C663" s="115"/>
      <c r="D663" s="183"/>
      <c r="E663" s="28" t="s">
        <v>897</v>
      </c>
      <c r="F663" s="97">
        <v>2622</v>
      </c>
      <c r="G663" s="20"/>
      <c r="H663" s="21"/>
      <c r="I663" s="33"/>
      <c r="J663" s="58">
        <v>3110</v>
      </c>
      <c r="K663" s="20">
        <v>600000</v>
      </c>
      <c r="L663" s="35"/>
      <c r="M663" s="20"/>
      <c r="N663" s="20"/>
      <c r="O663" s="20">
        <v>600000</v>
      </c>
      <c r="P663" s="20"/>
      <c r="Q663" s="20"/>
      <c r="R663" s="20"/>
      <c r="S663" s="20"/>
      <c r="T663" s="20"/>
      <c r="U663" s="20"/>
      <c r="V663" s="20"/>
      <c r="W663" s="20"/>
      <c r="X663" s="20"/>
      <c r="Y663" s="118">
        <f t="shared" si="98"/>
        <v>0</v>
      </c>
      <c r="Z663" s="24">
        <f>573960</f>
        <v>573960</v>
      </c>
      <c r="AA663" s="118">
        <f t="shared" si="100"/>
        <v>26040</v>
      </c>
      <c r="AB663" s="118"/>
      <c r="AC663" s="24"/>
      <c r="AD663" s="118">
        <f t="shared" si="97"/>
        <v>26040</v>
      </c>
    </row>
    <row r="664" spans="1:30" s="22" customFormat="1" ht="40.5" customHeight="1">
      <c r="A664" s="171" t="s">
        <v>128</v>
      </c>
      <c r="B664" s="171" t="s">
        <v>25</v>
      </c>
      <c r="C664" s="171" t="s">
        <v>26</v>
      </c>
      <c r="D664" s="172" t="s">
        <v>27</v>
      </c>
      <c r="E664" s="26"/>
      <c r="F664" s="97"/>
      <c r="G664" s="20"/>
      <c r="H664" s="21"/>
      <c r="I664" s="33"/>
      <c r="J664" s="58"/>
      <c r="K664" s="23">
        <f>K665</f>
        <v>1109950</v>
      </c>
      <c r="L664" s="23">
        <f aca="true" t="shared" si="102" ref="L664:Z664">L665</f>
        <v>0</v>
      </c>
      <c r="M664" s="23">
        <f t="shared" si="102"/>
        <v>0</v>
      </c>
      <c r="N664" s="23">
        <f t="shared" si="102"/>
        <v>0</v>
      </c>
      <c r="O664" s="23">
        <f t="shared" si="102"/>
        <v>0</v>
      </c>
      <c r="P664" s="23">
        <f t="shared" si="102"/>
        <v>0</v>
      </c>
      <c r="Q664" s="23">
        <f t="shared" si="102"/>
        <v>0</v>
      </c>
      <c r="R664" s="23">
        <f t="shared" si="102"/>
        <v>0</v>
      </c>
      <c r="S664" s="23">
        <f t="shared" si="102"/>
        <v>1109950</v>
      </c>
      <c r="T664" s="23">
        <f t="shared" si="102"/>
        <v>0</v>
      </c>
      <c r="U664" s="23">
        <f t="shared" si="102"/>
        <v>0</v>
      </c>
      <c r="V664" s="23">
        <f t="shared" si="102"/>
        <v>0</v>
      </c>
      <c r="W664" s="23">
        <f t="shared" si="102"/>
        <v>0</v>
      </c>
      <c r="X664" s="23">
        <f t="shared" si="102"/>
        <v>0</v>
      </c>
      <c r="Y664" s="118">
        <f t="shared" si="98"/>
        <v>0</v>
      </c>
      <c r="Z664" s="23">
        <f t="shared" si="102"/>
        <v>1109950</v>
      </c>
      <c r="AA664" s="118">
        <f t="shared" si="100"/>
        <v>0</v>
      </c>
      <c r="AB664" s="118"/>
      <c r="AC664" s="24"/>
      <c r="AD664" s="118">
        <f t="shared" si="97"/>
        <v>0</v>
      </c>
    </row>
    <row r="665" spans="1:30" s="22" customFormat="1" ht="60.75" customHeight="1">
      <c r="A665" s="171"/>
      <c r="B665" s="171"/>
      <c r="C665" s="171"/>
      <c r="D665" s="172"/>
      <c r="E665" s="28" t="s">
        <v>894</v>
      </c>
      <c r="F665" s="97">
        <v>2621</v>
      </c>
      <c r="G665" s="20"/>
      <c r="H665" s="21"/>
      <c r="I665" s="33"/>
      <c r="J665" s="58">
        <v>3220</v>
      </c>
      <c r="K665" s="20">
        <f>1109950</f>
        <v>1109950</v>
      </c>
      <c r="L665" s="35"/>
      <c r="M665" s="20"/>
      <c r="N665" s="20"/>
      <c r="O665" s="20"/>
      <c r="P665" s="20"/>
      <c r="Q665" s="20"/>
      <c r="R665" s="20"/>
      <c r="S665" s="20">
        <v>1109950</v>
      </c>
      <c r="T665" s="20"/>
      <c r="U665" s="20"/>
      <c r="V665" s="20"/>
      <c r="W665" s="20"/>
      <c r="X665" s="20"/>
      <c r="Y665" s="118">
        <f t="shared" si="98"/>
        <v>0</v>
      </c>
      <c r="Z665" s="24">
        <v>1109950</v>
      </c>
      <c r="AA665" s="118">
        <f t="shared" si="100"/>
        <v>0</v>
      </c>
      <c r="AB665" s="118"/>
      <c r="AC665" s="24"/>
      <c r="AD665" s="118">
        <f t="shared" si="97"/>
        <v>0</v>
      </c>
    </row>
    <row r="666" spans="1:30" s="22" customFormat="1" ht="36" customHeight="1" hidden="1">
      <c r="A666" s="171"/>
      <c r="B666" s="171"/>
      <c r="C666" s="171"/>
      <c r="D666" s="172"/>
      <c r="E666" s="26"/>
      <c r="F666" s="97"/>
      <c r="G666" s="20"/>
      <c r="H666" s="21"/>
      <c r="I666" s="33"/>
      <c r="J666" s="58"/>
      <c r="K666" s="20"/>
      <c r="L666" s="35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118">
        <f t="shared" si="98"/>
        <v>0</v>
      </c>
      <c r="Z666" s="24"/>
      <c r="AA666" s="118">
        <f t="shared" si="100"/>
        <v>0</v>
      </c>
      <c r="AB666" s="118"/>
      <c r="AC666" s="24"/>
      <c r="AD666" s="118">
        <f t="shared" si="97"/>
        <v>0</v>
      </c>
    </row>
    <row r="667" spans="1:30" ht="30.75" hidden="1">
      <c r="A667" s="114" t="s">
        <v>174</v>
      </c>
      <c r="B667" s="119"/>
      <c r="C667" s="120"/>
      <c r="D667" s="112" t="s">
        <v>177</v>
      </c>
      <c r="E667" s="112"/>
      <c r="F667" s="98"/>
      <c r="G667" s="112"/>
      <c r="H667" s="112"/>
      <c r="I667" s="42"/>
      <c r="J667" s="58"/>
      <c r="K667" s="39">
        <f>K668</f>
        <v>0</v>
      </c>
      <c r="L667" s="43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118">
        <f t="shared" si="98"/>
        <v>0</v>
      </c>
      <c r="Z667" s="24"/>
      <c r="AA667" s="118">
        <f t="shared" si="100"/>
        <v>0</v>
      </c>
      <c r="AB667" s="118"/>
      <c r="AC667" s="24"/>
      <c r="AD667" s="118">
        <f t="shared" si="97"/>
        <v>0</v>
      </c>
    </row>
    <row r="668" spans="1:30" ht="30.75" hidden="1">
      <c r="A668" s="114" t="s">
        <v>175</v>
      </c>
      <c r="B668" s="119"/>
      <c r="C668" s="120"/>
      <c r="D668" s="112" t="s">
        <v>177</v>
      </c>
      <c r="E668" s="112"/>
      <c r="F668" s="98"/>
      <c r="G668" s="112"/>
      <c r="H668" s="112"/>
      <c r="I668" s="42"/>
      <c r="J668" s="58"/>
      <c r="K668" s="39">
        <f>K669</f>
        <v>0</v>
      </c>
      <c r="L668" s="43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118">
        <f t="shared" si="98"/>
        <v>0</v>
      </c>
      <c r="Z668" s="24"/>
      <c r="AA668" s="118">
        <f t="shared" si="100"/>
        <v>0</v>
      </c>
      <c r="AB668" s="118"/>
      <c r="AC668" s="24"/>
      <c r="AD668" s="118">
        <f t="shared" si="97"/>
        <v>0</v>
      </c>
    </row>
    <row r="669" spans="1:30" s="31" customFormat="1" ht="15" customHeight="1" hidden="1">
      <c r="A669" s="194" t="s">
        <v>176</v>
      </c>
      <c r="B669" s="198" t="s">
        <v>29</v>
      </c>
      <c r="C669" s="194" t="s">
        <v>30</v>
      </c>
      <c r="D669" s="199" t="s">
        <v>31</v>
      </c>
      <c r="E669" s="19"/>
      <c r="F669" s="96"/>
      <c r="G669" s="20"/>
      <c r="H669" s="21"/>
      <c r="I669" s="33"/>
      <c r="J669" s="58"/>
      <c r="K669" s="20">
        <f>SUM(K670:K670)</f>
        <v>0</v>
      </c>
      <c r="L669" s="35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118">
        <f t="shared" si="98"/>
        <v>0</v>
      </c>
      <c r="Z669" s="24"/>
      <c r="AA669" s="118">
        <f t="shared" si="100"/>
        <v>0</v>
      </c>
      <c r="AB669" s="118"/>
      <c r="AC669" s="24"/>
      <c r="AD669" s="118">
        <f t="shared" si="97"/>
        <v>0</v>
      </c>
    </row>
    <row r="670" spans="1:30" s="31" customFormat="1" ht="21" hidden="1">
      <c r="A670" s="194"/>
      <c r="B670" s="198"/>
      <c r="C670" s="194"/>
      <c r="D670" s="199"/>
      <c r="E670" s="19"/>
      <c r="F670" s="96"/>
      <c r="G670" s="20"/>
      <c r="H670" s="21"/>
      <c r="I670" s="33"/>
      <c r="J670" s="58"/>
      <c r="K670" s="20"/>
      <c r="L670" s="35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118">
        <f t="shared" si="98"/>
        <v>0</v>
      </c>
      <c r="Z670" s="24"/>
      <c r="AA670" s="118">
        <f t="shared" si="100"/>
        <v>0</v>
      </c>
      <c r="AB670" s="118"/>
      <c r="AC670" s="24"/>
      <c r="AD670" s="118">
        <f t="shared" si="97"/>
        <v>0</v>
      </c>
    </row>
    <row r="671" spans="1:30" ht="46.5">
      <c r="A671" s="114" t="s">
        <v>129</v>
      </c>
      <c r="B671" s="119"/>
      <c r="C671" s="120"/>
      <c r="D671" s="112" t="s">
        <v>130</v>
      </c>
      <c r="E671" s="112"/>
      <c r="F671" s="98"/>
      <c r="G671" s="112"/>
      <c r="H671" s="112"/>
      <c r="I671" s="42"/>
      <c r="J671" s="58"/>
      <c r="K671" s="39">
        <f>K672</f>
        <v>168670433.16000003</v>
      </c>
      <c r="L671" s="39">
        <f aca="true" t="shared" si="103" ref="L671:Z671">L672</f>
        <v>4946.71</v>
      </c>
      <c r="M671" s="39">
        <f t="shared" si="103"/>
        <v>0</v>
      </c>
      <c r="N671" s="39">
        <f t="shared" si="103"/>
        <v>10758500.109999998</v>
      </c>
      <c r="O671" s="39">
        <f t="shared" si="103"/>
        <v>9097788.9</v>
      </c>
      <c r="P671" s="39">
        <f t="shared" si="103"/>
        <v>32973645.089999996</v>
      </c>
      <c r="Q671" s="39">
        <f t="shared" si="103"/>
        <v>22051303.970000003</v>
      </c>
      <c r="R671" s="39">
        <f t="shared" si="103"/>
        <v>610310.71</v>
      </c>
      <c r="S671" s="39">
        <f t="shared" si="103"/>
        <v>44637863.300000004</v>
      </c>
      <c r="T671" s="39">
        <f t="shared" si="103"/>
        <v>17378999.48</v>
      </c>
      <c r="U671" s="39">
        <f t="shared" si="103"/>
        <v>6870912.87</v>
      </c>
      <c r="V671" s="39">
        <f t="shared" si="103"/>
        <v>9910000</v>
      </c>
      <c r="W671" s="39">
        <f t="shared" si="103"/>
        <v>10681014.56</v>
      </c>
      <c r="X671" s="39">
        <f t="shared" si="103"/>
        <v>3700094.17</v>
      </c>
      <c r="Y671" s="118">
        <f t="shared" si="98"/>
        <v>3.3527612686157227E-08</v>
      </c>
      <c r="Z671" s="39">
        <f t="shared" si="103"/>
        <v>84525471.24000002</v>
      </c>
      <c r="AA671" s="118">
        <f t="shared" si="100"/>
        <v>35603940.83999996</v>
      </c>
      <c r="AB671" s="118"/>
      <c r="AC671" s="24"/>
      <c r="AD671" s="118">
        <f t="shared" si="97"/>
        <v>84144961.92</v>
      </c>
    </row>
    <row r="672" spans="1:30" ht="46.5">
      <c r="A672" s="114" t="s">
        <v>131</v>
      </c>
      <c r="B672" s="119"/>
      <c r="C672" s="120"/>
      <c r="D672" s="112" t="s">
        <v>130</v>
      </c>
      <c r="E672" s="112"/>
      <c r="F672" s="98"/>
      <c r="G672" s="112"/>
      <c r="H672" s="112"/>
      <c r="I672" s="42"/>
      <c r="J672" s="58"/>
      <c r="K672" s="39">
        <f>K673+K675+K684+K689+K698+K707+K753+K755+K700+K682+K757</f>
        <v>168670433.16000003</v>
      </c>
      <c r="L672" s="39">
        <f aca="true" t="shared" si="104" ref="L672:Z672">L673+L675+L684+L689+L698+L707+L753+L755+L700+L682+L757</f>
        <v>4946.71</v>
      </c>
      <c r="M672" s="39">
        <f t="shared" si="104"/>
        <v>0</v>
      </c>
      <c r="N672" s="39">
        <f t="shared" si="104"/>
        <v>10758500.109999998</v>
      </c>
      <c r="O672" s="39">
        <f t="shared" si="104"/>
        <v>9097788.9</v>
      </c>
      <c r="P672" s="39">
        <f t="shared" si="104"/>
        <v>32973645.089999996</v>
      </c>
      <c r="Q672" s="39">
        <f t="shared" si="104"/>
        <v>22051303.970000003</v>
      </c>
      <c r="R672" s="39">
        <f t="shared" si="104"/>
        <v>610310.71</v>
      </c>
      <c r="S672" s="39">
        <f t="shared" si="104"/>
        <v>44637863.300000004</v>
      </c>
      <c r="T672" s="39">
        <f t="shared" si="104"/>
        <v>17378999.48</v>
      </c>
      <c r="U672" s="39">
        <f t="shared" si="104"/>
        <v>6870912.87</v>
      </c>
      <c r="V672" s="39">
        <f t="shared" si="104"/>
        <v>9910000</v>
      </c>
      <c r="W672" s="39">
        <f t="shared" si="104"/>
        <v>10681014.56</v>
      </c>
      <c r="X672" s="39">
        <f t="shared" si="104"/>
        <v>3700094.17</v>
      </c>
      <c r="Y672" s="118">
        <f t="shared" si="98"/>
        <v>3.3527612686157227E-08</v>
      </c>
      <c r="Z672" s="39">
        <f t="shared" si="104"/>
        <v>84525471.24000002</v>
      </c>
      <c r="AA672" s="118">
        <f t="shared" si="100"/>
        <v>35603940.83999996</v>
      </c>
      <c r="AB672" s="118"/>
      <c r="AC672" s="24"/>
      <c r="AD672" s="118">
        <f aca="true" t="shared" si="105" ref="AD672:AD735">K672-Z672+AC672-AB672</f>
        <v>84144961.92</v>
      </c>
    </row>
    <row r="673" spans="1:30" ht="21" hidden="1">
      <c r="A673" s="194" t="s">
        <v>132</v>
      </c>
      <c r="B673" s="198" t="s">
        <v>29</v>
      </c>
      <c r="C673" s="194" t="s">
        <v>30</v>
      </c>
      <c r="D673" s="199" t="s">
        <v>31</v>
      </c>
      <c r="E673" s="19"/>
      <c r="F673" s="96"/>
      <c r="G673" s="20"/>
      <c r="H673" s="21"/>
      <c r="I673" s="33"/>
      <c r="J673" s="58"/>
      <c r="K673" s="23">
        <f>K674</f>
        <v>0</v>
      </c>
      <c r="L673" s="23">
        <f aca="true" t="shared" si="106" ref="L673:Z673">L674</f>
        <v>0</v>
      </c>
      <c r="M673" s="23">
        <f t="shared" si="106"/>
        <v>0</v>
      </c>
      <c r="N673" s="23">
        <f t="shared" si="106"/>
        <v>0</v>
      </c>
      <c r="O673" s="23">
        <f t="shared" si="106"/>
        <v>0</v>
      </c>
      <c r="P673" s="23">
        <f t="shared" si="106"/>
        <v>0</v>
      </c>
      <c r="Q673" s="23">
        <f t="shared" si="106"/>
        <v>0</v>
      </c>
      <c r="R673" s="23">
        <f t="shared" si="106"/>
        <v>0</v>
      </c>
      <c r="S673" s="23">
        <f t="shared" si="106"/>
        <v>0</v>
      </c>
      <c r="T673" s="23">
        <f t="shared" si="106"/>
        <v>0</v>
      </c>
      <c r="U673" s="23">
        <f t="shared" si="106"/>
        <v>0</v>
      </c>
      <c r="V673" s="23">
        <f t="shared" si="106"/>
        <v>0</v>
      </c>
      <c r="W673" s="23">
        <f t="shared" si="106"/>
        <v>0</v>
      </c>
      <c r="X673" s="23">
        <f t="shared" si="106"/>
        <v>0</v>
      </c>
      <c r="Y673" s="118">
        <f t="shared" si="98"/>
        <v>0</v>
      </c>
      <c r="Z673" s="23">
        <f t="shared" si="106"/>
        <v>0</v>
      </c>
      <c r="AA673" s="118">
        <f t="shared" si="100"/>
        <v>0</v>
      </c>
      <c r="AB673" s="118"/>
      <c r="AC673" s="24"/>
      <c r="AD673" s="118">
        <f t="shared" si="105"/>
        <v>0</v>
      </c>
    </row>
    <row r="674" spans="1:30" ht="21" hidden="1">
      <c r="A674" s="194"/>
      <c r="B674" s="198"/>
      <c r="C674" s="194"/>
      <c r="D674" s="199"/>
      <c r="E674" s="26"/>
      <c r="F674" s="97"/>
      <c r="G674" s="25"/>
      <c r="H674" s="24"/>
      <c r="I674" s="25"/>
      <c r="J674" s="58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118">
        <f t="shared" si="98"/>
        <v>0</v>
      </c>
      <c r="Z674" s="24"/>
      <c r="AA674" s="118">
        <f t="shared" si="100"/>
        <v>0</v>
      </c>
      <c r="AB674" s="118"/>
      <c r="AC674" s="24"/>
      <c r="AD674" s="118">
        <f t="shared" si="105"/>
        <v>0</v>
      </c>
    </row>
    <row r="675" spans="1:30" ht="21" hidden="1">
      <c r="A675" s="194" t="s">
        <v>133</v>
      </c>
      <c r="B675" s="200">
        <v>1020</v>
      </c>
      <c r="C675" s="197" t="s">
        <v>37</v>
      </c>
      <c r="D675" s="199" t="s">
        <v>38</v>
      </c>
      <c r="E675" s="19"/>
      <c r="F675" s="96"/>
      <c r="G675" s="20"/>
      <c r="H675" s="21"/>
      <c r="I675" s="33"/>
      <c r="J675" s="58"/>
      <c r="K675" s="23">
        <f>K676</f>
        <v>0</v>
      </c>
      <c r="L675" s="23">
        <f aca="true" t="shared" si="107" ref="L675:Z675">L676</f>
        <v>0</v>
      </c>
      <c r="M675" s="23">
        <f t="shared" si="107"/>
        <v>0</v>
      </c>
      <c r="N675" s="23">
        <f t="shared" si="107"/>
        <v>0</v>
      </c>
      <c r="O675" s="23">
        <f t="shared" si="107"/>
        <v>0</v>
      </c>
      <c r="P675" s="23">
        <f t="shared" si="107"/>
        <v>0</v>
      </c>
      <c r="Q675" s="23">
        <f t="shared" si="107"/>
        <v>0</v>
      </c>
      <c r="R675" s="23">
        <f t="shared" si="107"/>
        <v>0</v>
      </c>
      <c r="S675" s="23">
        <f t="shared" si="107"/>
        <v>0</v>
      </c>
      <c r="T675" s="23">
        <f t="shared" si="107"/>
        <v>0</v>
      </c>
      <c r="U675" s="23">
        <f t="shared" si="107"/>
        <v>0</v>
      </c>
      <c r="V675" s="23">
        <f t="shared" si="107"/>
        <v>0</v>
      </c>
      <c r="W675" s="23">
        <f t="shared" si="107"/>
        <v>0</v>
      </c>
      <c r="X675" s="23">
        <f t="shared" si="107"/>
        <v>0</v>
      </c>
      <c r="Y675" s="118">
        <f t="shared" si="98"/>
        <v>0</v>
      </c>
      <c r="Z675" s="23">
        <f t="shared" si="107"/>
        <v>0</v>
      </c>
      <c r="AA675" s="118">
        <f t="shared" si="100"/>
        <v>0</v>
      </c>
      <c r="AB675" s="118"/>
      <c r="AC675" s="24"/>
      <c r="AD675" s="118">
        <f t="shared" si="105"/>
        <v>0</v>
      </c>
    </row>
    <row r="676" spans="1:30" ht="21" hidden="1">
      <c r="A676" s="194"/>
      <c r="B676" s="200"/>
      <c r="C676" s="197"/>
      <c r="D676" s="199"/>
      <c r="E676" s="30"/>
      <c r="F676" s="97"/>
      <c r="G676" s="25"/>
      <c r="H676" s="24"/>
      <c r="I676" s="37"/>
      <c r="J676" s="58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118">
        <f t="shared" si="98"/>
        <v>0</v>
      </c>
      <c r="Z676" s="24"/>
      <c r="AA676" s="118">
        <f t="shared" si="100"/>
        <v>0</v>
      </c>
      <c r="AB676" s="118"/>
      <c r="AC676" s="24"/>
      <c r="AD676" s="118">
        <f t="shared" si="105"/>
        <v>0</v>
      </c>
    </row>
    <row r="677" spans="1:30" ht="21" hidden="1">
      <c r="A677" s="194" t="s">
        <v>134</v>
      </c>
      <c r="B677" s="200">
        <v>5031</v>
      </c>
      <c r="C677" s="197" t="s">
        <v>62</v>
      </c>
      <c r="D677" s="199" t="s">
        <v>63</v>
      </c>
      <c r="E677" s="19"/>
      <c r="F677" s="96"/>
      <c r="G677" s="20"/>
      <c r="H677" s="21"/>
      <c r="I677" s="33"/>
      <c r="J677" s="58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118">
        <f t="shared" si="98"/>
        <v>0</v>
      </c>
      <c r="Z677" s="20"/>
      <c r="AA677" s="118">
        <f t="shared" si="100"/>
        <v>0</v>
      </c>
      <c r="AB677" s="118"/>
      <c r="AC677" s="24"/>
      <c r="AD677" s="118">
        <f t="shared" si="105"/>
        <v>0</v>
      </c>
    </row>
    <row r="678" spans="1:30" ht="21" hidden="1">
      <c r="A678" s="194"/>
      <c r="B678" s="200"/>
      <c r="C678" s="197"/>
      <c r="D678" s="199"/>
      <c r="E678" s="19"/>
      <c r="F678" s="96"/>
      <c r="G678" s="20"/>
      <c r="H678" s="21"/>
      <c r="I678" s="33"/>
      <c r="J678" s="58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118">
        <f t="shared" si="98"/>
        <v>0</v>
      </c>
      <c r="Z678" s="20"/>
      <c r="AA678" s="118">
        <f t="shared" si="100"/>
        <v>0</v>
      </c>
      <c r="AB678" s="118"/>
      <c r="AC678" s="24"/>
      <c r="AD678" s="118">
        <f t="shared" si="105"/>
        <v>0</v>
      </c>
    </row>
    <row r="679" spans="1:30" ht="21" hidden="1">
      <c r="A679" s="194"/>
      <c r="B679" s="200"/>
      <c r="C679" s="197"/>
      <c r="D679" s="199"/>
      <c r="E679" s="19"/>
      <c r="F679" s="96"/>
      <c r="G679" s="20"/>
      <c r="H679" s="21"/>
      <c r="I679" s="33"/>
      <c r="J679" s="58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118">
        <f t="shared" si="98"/>
        <v>0</v>
      </c>
      <c r="Z679" s="20"/>
      <c r="AA679" s="118">
        <f t="shared" si="100"/>
        <v>0</v>
      </c>
      <c r="AB679" s="118"/>
      <c r="AC679" s="24"/>
      <c r="AD679" s="118">
        <f t="shared" si="105"/>
        <v>0</v>
      </c>
    </row>
    <row r="680" spans="1:30" ht="21" hidden="1">
      <c r="A680" s="194" t="s">
        <v>135</v>
      </c>
      <c r="B680" s="200">
        <v>6030</v>
      </c>
      <c r="C680" s="197" t="s">
        <v>102</v>
      </c>
      <c r="D680" s="199" t="s">
        <v>105</v>
      </c>
      <c r="E680" s="19"/>
      <c r="F680" s="96"/>
      <c r="G680" s="20"/>
      <c r="H680" s="21"/>
      <c r="I680" s="33"/>
      <c r="J680" s="58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118">
        <f t="shared" si="98"/>
        <v>0</v>
      </c>
      <c r="Z680" s="20"/>
      <c r="AA680" s="118">
        <f t="shared" si="100"/>
        <v>0</v>
      </c>
      <c r="AB680" s="118"/>
      <c r="AC680" s="24"/>
      <c r="AD680" s="118">
        <f t="shared" si="105"/>
        <v>0</v>
      </c>
    </row>
    <row r="681" spans="1:30" ht="21" hidden="1">
      <c r="A681" s="194"/>
      <c r="B681" s="200"/>
      <c r="C681" s="197"/>
      <c r="D681" s="199"/>
      <c r="E681" s="19"/>
      <c r="F681" s="96"/>
      <c r="G681" s="20"/>
      <c r="H681" s="21"/>
      <c r="I681" s="33"/>
      <c r="J681" s="58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118">
        <f t="shared" si="98"/>
        <v>0</v>
      </c>
      <c r="Z681" s="20"/>
      <c r="AA681" s="118">
        <f t="shared" si="100"/>
        <v>0</v>
      </c>
      <c r="AB681" s="118"/>
      <c r="AC681" s="24"/>
      <c r="AD681" s="118">
        <f t="shared" si="105"/>
        <v>0</v>
      </c>
    </row>
    <row r="682" spans="1:30" ht="21">
      <c r="A682" s="173" t="s">
        <v>136</v>
      </c>
      <c r="B682" s="174">
        <v>7310</v>
      </c>
      <c r="C682" s="173" t="s">
        <v>66</v>
      </c>
      <c r="D682" s="184" t="s">
        <v>110</v>
      </c>
      <c r="E682" s="19"/>
      <c r="F682" s="96"/>
      <c r="G682" s="20"/>
      <c r="H682" s="21"/>
      <c r="I682" s="33"/>
      <c r="J682" s="58"/>
      <c r="K682" s="23">
        <f>K683</f>
        <v>1440000</v>
      </c>
      <c r="L682" s="23">
        <f aca="true" t="shared" si="108" ref="L682:Z682">L683</f>
        <v>100</v>
      </c>
      <c r="M682" s="23">
        <f t="shared" si="108"/>
        <v>0</v>
      </c>
      <c r="N682" s="23">
        <f t="shared" si="108"/>
        <v>0</v>
      </c>
      <c r="O682" s="23">
        <f t="shared" si="108"/>
        <v>0</v>
      </c>
      <c r="P682" s="23">
        <f t="shared" si="108"/>
        <v>0</v>
      </c>
      <c r="Q682" s="23">
        <f t="shared" si="108"/>
        <v>0</v>
      </c>
      <c r="R682" s="23">
        <f t="shared" si="108"/>
        <v>0</v>
      </c>
      <c r="S682" s="23">
        <f t="shared" si="108"/>
        <v>614277.75</v>
      </c>
      <c r="T682" s="23">
        <f t="shared" si="108"/>
        <v>238499.48</v>
      </c>
      <c r="U682" s="23">
        <f t="shared" si="108"/>
        <v>0</v>
      </c>
      <c r="V682" s="23">
        <f t="shared" si="108"/>
        <v>318256.6</v>
      </c>
      <c r="W682" s="23">
        <f t="shared" si="108"/>
        <v>268966.17</v>
      </c>
      <c r="X682" s="23">
        <f t="shared" si="108"/>
        <v>0</v>
      </c>
      <c r="Y682" s="118">
        <f t="shared" si="98"/>
        <v>5.820766091346741E-11</v>
      </c>
      <c r="Z682" s="23">
        <f t="shared" si="108"/>
        <v>0</v>
      </c>
      <c r="AA682" s="118">
        <f t="shared" si="100"/>
        <v>614277.75</v>
      </c>
      <c r="AB682" s="118"/>
      <c r="AC682" s="24"/>
      <c r="AD682" s="118">
        <f t="shared" si="105"/>
        <v>1440000</v>
      </c>
    </row>
    <row r="683" spans="1:30" ht="46.5">
      <c r="A683" s="173"/>
      <c r="B683" s="174"/>
      <c r="C683" s="173"/>
      <c r="D683" s="184"/>
      <c r="E683" s="19" t="s">
        <v>710</v>
      </c>
      <c r="F683" s="96">
        <v>2477</v>
      </c>
      <c r="G683" s="20" t="s">
        <v>607</v>
      </c>
      <c r="H683" s="24">
        <v>2094529</v>
      </c>
      <c r="I683" s="33">
        <v>92.7</v>
      </c>
      <c r="J683" s="58">
        <v>3210</v>
      </c>
      <c r="K683" s="20">
        <v>1440000</v>
      </c>
      <c r="L683" s="35">
        <v>100</v>
      </c>
      <c r="M683" s="20"/>
      <c r="N683" s="20"/>
      <c r="O683" s="20"/>
      <c r="P683" s="20"/>
      <c r="Q683" s="20"/>
      <c r="R683" s="20"/>
      <c r="S683" s="20">
        <v>614277.75</v>
      </c>
      <c r="T683" s="20">
        <v>238499.48</v>
      </c>
      <c r="U683" s="20"/>
      <c r="V683" s="20">
        <v>318256.6</v>
      </c>
      <c r="W683" s="20">
        <v>268966.17</v>
      </c>
      <c r="X683" s="20"/>
      <c r="Y683" s="118">
        <f t="shared" si="98"/>
        <v>5.820766091346741E-11</v>
      </c>
      <c r="Z683" s="24"/>
      <c r="AA683" s="118">
        <f t="shared" si="100"/>
        <v>614277.75</v>
      </c>
      <c r="AB683" s="118"/>
      <c r="AC683" s="24"/>
      <c r="AD683" s="118">
        <f t="shared" si="105"/>
        <v>1440000</v>
      </c>
    </row>
    <row r="684" spans="1:30" ht="21">
      <c r="A684" s="173" t="s">
        <v>137</v>
      </c>
      <c r="B684" s="174">
        <v>7321</v>
      </c>
      <c r="C684" s="173" t="s">
        <v>66</v>
      </c>
      <c r="D684" s="184" t="s">
        <v>67</v>
      </c>
      <c r="E684" s="19"/>
      <c r="F684" s="96"/>
      <c r="G684" s="20"/>
      <c r="H684" s="21"/>
      <c r="I684" s="33"/>
      <c r="J684" s="58"/>
      <c r="K684" s="23">
        <f>K685+K686</f>
        <v>1949532</v>
      </c>
      <c r="L684" s="23">
        <f aca="true" t="shared" si="109" ref="L684:Z684">L685+L686</f>
        <v>103.4</v>
      </c>
      <c r="M684" s="23">
        <f t="shared" si="109"/>
        <v>0</v>
      </c>
      <c r="N684" s="23">
        <f t="shared" si="109"/>
        <v>449547.96</v>
      </c>
      <c r="O684" s="23">
        <f t="shared" si="109"/>
        <v>257483.37</v>
      </c>
      <c r="P684" s="23">
        <f t="shared" si="109"/>
        <v>-15066.13</v>
      </c>
      <c r="Q684" s="23">
        <f t="shared" si="109"/>
        <v>215066.13</v>
      </c>
      <c r="R684" s="23">
        <f t="shared" si="109"/>
        <v>0</v>
      </c>
      <c r="S684" s="23">
        <f t="shared" si="109"/>
        <v>713000</v>
      </c>
      <c r="T684" s="23">
        <f t="shared" si="109"/>
        <v>0</v>
      </c>
      <c r="U684" s="23">
        <f t="shared" si="109"/>
        <v>0</v>
      </c>
      <c r="V684" s="23">
        <f t="shared" si="109"/>
        <v>329500.67</v>
      </c>
      <c r="W684" s="23">
        <f t="shared" si="109"/>
        <v>0</v>
      </c>
      <c r="X684" s="23">
        <f t="shared" si="109"/>
        <v>0</v>
      </c>
      <c r="Y684" s="118">
        <f t="shared" si="98"/>
        <v>-1.7462298274040222E-10</v>
      </c>
      <c r="Z684" s="23">
        <f t="shared" si="109"/>
        <v>907031.33</v>
      </c>
      <c r="AA684" s="118">
        <f t="shared" si="100"/>
        <v>713000.0000000001</v>
      </c>
      <c r="AB684" s="118"/>
      <c r="AC684" s="24"/>
      <c r="AD684" s="118">
        <f t="shared" si="105"/>
        <v>1042500.67</v>
      </c>
    </row>
    <row r="685" spans="1:30" ht="30.75">
      <c r="A685" s="173"/>
      <c r="B685" s="174"/>
      <c r="C685" s="173"/>
      <c r="D685" s="184"/>
      <c r="E685" s="30" t="s">
        <v>580</v>
      </c>
      <c r="F685" s="97">
        <v>2478</v>
      </c>
      <c r="G685" s="25" t="s">
        <v>201</v>
      </c>
      <c r="H685" s="24">
        <v>1251052</v>
      </c>
      <c r="I685" s="37">
        <v>49</v>
      </c>
      <c r="J685" s="58">
        <v>3132</v>
      </c>
      <c r="K685" s="24">
        <v>836532</v>
      </c>
      <c r="L685" s="34">
        <v>100</v>
      </c>
      <c r="M685" s="20"/>
      <c r="N685" s="20">
        <v>449547.96</v>
      </c>
      <c r="O685" s="20">
        <v>57483.37</v>
      </c>
      <c r="P685" s="20">
        <f>-15066.13</f>
        <v>-15066.13</v>
      </c>
      <c r="Q685" s="20">
        <v>15066.13</v>
      </c>
      <c r="R685" s="20"/>
      <c r="S685" s="20"/>
      <c r="T685" s="20">
        <f>15066.13-15066.13</f>
        <v>0</v>
      </c>
      <c r="U685" s="20"/>
      <c r="V685" s="20">
        <v>329500.67</v>
      </c>
      <c r="W685" s="20"/>
      <c r="X685" s="20"/>
      <c r="Y685" s="118">
        <f t="shared" si="98"/>
        <v>0</v>
      </c>
      <c r="Z685" s="24">
        <f>312412.8+179552.4+15066.13</f>
        <v>507031.32999999996</v>
      </c>
      <c r="AA685" s="118">
        <f t="shared" si="100"/>
        <v>0</v>
      </c>
      <c r="AB685" s="118"/>
      <c r="AC685" s="24">
        <v>-98410</v>
      </c>
      <c r="AD685" s="118">
        <f t="shared" si="105"/>
        <v>231090.67000000004</v>
      </c>
    </row>
    <row r="686" spans="1:30" ht="21">
      <c r="A686" s="173"/>
      <c r="B686" s="174"/>
      <c r="C686" s="173"/>
      <c r="D686" s="184"/>
      <c r="E686" s="26" t="s">
        <v>581</v>
      </c>
      <c r="F686" s="97">
        <v>2479</v>
      </c>
      <c r="G686" s="25" t="s">
        <v>582</v>
      </c>
      <c r="H686" s="24">
        <v>41506917</v>
      </c>
      <c r="I686" s="37">
        <v>0.7</v>
      </c>
      <c r="J686" s="58">
        <v>3122</v>
      </c>
      <c r="K686" s="24">
        <v>1113000</v>
      </c>
      <c r="L686" s="34">
        <v>3.4</v>
      </c>
      <c r="M686" s="20"/>
      <c r="N686" s="20"/>
      <c r="O686" s="20">
        <v>200000</v>
      </c>
      <c r="P686" s="20"/>
      <c r="Q686" s="20">
        <v>200000</v>
      </c>
      <c r="R686" s="20"/>
      <c r="S686" s="20">
        <v>713000</v>
      </c>
      <c r="T686" s="20"/>
      <c r="U686" s="20"/>
      <c r="V686" s="20"/>
      <c r="W686" s="20"/>
      <c r="X686" s="20"/>
      <c r="Y686" s="118">
        <f t="shared" si="98"/>
        <v>0</v>
      </c>
      <c r="Z686" s="24">
        <f>200000+200000</f>
        <v>400000</v>
      </c>
      <c r="AA686" s="118">
        <f t="shared" si="100"/>
        <v>713000</v>
      </c>
      <c r="AB686" s="118"/>
      <c r="AC686" s="24"/>
      <c r="AD686" s="118">
        <f t="shared" si="105"/>
        <v>713000</v>
      </c>
    </row>
    <row r="687" spans="1:30" ht="21" hidden="1">
      <c r="A687" s="171" t="s">
        <v>138</v>
      </c>
      <c r="B687" s="171" t="s">
        <v>69</v>
      </c>
      <c r="C687" s="171" t="s">
        <v>66</v>
      </c>
      <c r="D687" s="172" t="s">
        <v>70</v>
      </c>
      <c r="E687" s="19"/>
      <c r="F687" s="96"/>
      <c r="G687" s="20"/>
      <c r="H687" s="21"/>
      <c r="I687" s="33"/>
      <c r="J687" s="58"/>
      <c r="K687" s="20"/>
      <c r="L687" s="35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118">
        <f t="shared" si="98"/>
        <v>0</v>
      </c>
      <c r="Z687" s="24"/>
      <c r="AA687" s="118">
        <f t="shared" si="100"/>
        <v>0</v>
      </c>
      <c r="AB687" s="118"/>
      <c r="AC687" s="24"/>
      <c r="AD687" s="118">
        <f t="shared" si="105"/>
        <v>0</v>
      </c>
    </row>
    <row r="688" spans="1:30" ht="21" hidden="1">
      <c r="A688" s="171"/>
      <c r="B688" s="171"/>
      <c r="C688" s="171"/>
      <c r="D688" s="172"/>
      <c r="E688" s="19"/>
      <c r="F688" s="96"/>
      <c r="G688" s="20"/>
      <c r="H688" s="21"/>
      <c r="I688" s="33"/>
      <c r="J688" s="58"/>
      <c r="K688" s="20"/>
      <c r="L688" s="35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118">
        <f t="shared" si="98"/>
        <v>0</v>
      </c>
      <c r="Z688" s="24"/>
      <c r="AA688" s="118">
        <f t="shared" si="100"/>
        <v>0</v>
      </c>
      <c r="AB688" s="118"/>
      <c r="AC688" s="24"/>
      <c r="AD688" s="118">
        <f t="shared" si="105"/>
        <v>0</v>
      </c>
    </row>
    <row r="689" spans="1:30" ht="21">
      <c r="A689" s="171" t="s">
        <v>139</v>
      </c>
      <c r="B689" s="171" t="s">
        <v>72</v>
      </c>
      <c r="C689" s="171" t="s">
        <v>66</v>
      </c>
      <c r="D689" s="172" t="s">
        <v>73</v>
      </c>
      <c r="E689" s="19"/>
      <c r="F689" s="96"/>
      <c r="G689" s="20"/>
      <c r="H689" s="21"/>
      <c r="I689" s="33"/>
      <c r="J689" s="58"/>
      <c r="K689" s="23">
        <f>SUM(K690:K697)</f>
        <v>4037173.75</v>
      </c>
      <c r="L689" s="23">
        <f aca="true" t="shared" si="110" ref="L689:Z689">SUM(L690:L697)</f>
        <v>631.21</v>
      </c>
      <c r="M689" s="23">
        <f t="shared" si="110"/>
        <v>0</v>
      </c>
      <c r="N689" s="23">
        <f t="shared" si="110"/>
        <v>550965.74</v>
      </c>
      <c r="O689" s="23">
        <f t="shared" si="110"/>
        <v>0</v>
      </c>
      <c r="P689" s="23">
        <f t="shared" si="110"/>
        <v>1239605.03</v>
      </c>
      <c r="Q689" s="23">
        <f t="shared" si="110"/>
        <v>0</v>
      </c>
      <c r="R689" s="23">
        <f t="shared" si="110"/>
        <v>-232385.35</v>
      </c>
      <c r="S689" s="23">
        <f t="shared" si="110"/>
        <v>622973.35</v>
      </c>
      <c r="T689" s="23">
        <f t="shared" si="110"/>
        <v>18232.98</v>
      </c>
      <c r="U689" s="23">
        <f t="shared" si="110"/>
        <v>0</v>
      </c>
      <c r="V689" s="23">
        <f t="shared" si="110"/>
        <v>35400</v>
      </c>
      <c r="W689" s="23">
        <f t="shared" si="110"/>
        <v>523583.43</v>
      </c>
      <c r="X689" s="23">
        <f t="shared" si="110"/>
        <v>1278798.5699999998</v>
      </c>
      <c r="Y689" s="118">
        <f t="shared" si="98"/>
        <v>0</v>
      </c>
      <c r="Z689" s="23">
        <f t="shared" si="110"/>
        <v>1304928.0300000003</v>
      </c>
      <c r="AA689" s="118">
        <f t="shared" si="100"/>
        <v>876230.7399999998</v>
      </c>
      <c r="AB689" s="118"/>
      <c r="AC689" s="24"/>
      <c r="AD689" s="118">
        <f t="shared" si="105"/>
        <v>2732245.7199999997</v>
      </c>
    </row>
    <row r="690" spans="1:30" ht="30.75">
      <c r="A690" s="171"/>
      <c r="B690" s="171"/>
      <c r="C690" s="171"/>
      <c r="D690" s="172"/>
      <c r="E690" s="30" t="s">
        <v>874</v>
      </c>
      <c r="F690" s="97">
        <v>2480</v>
      </c>
      <c r="G690" s="25">
        <v>2020</v>
      </c>
      <c r="H690" s="24">
        <v>500000</v>
      </c>
      <c r="I690" s="37">
        <v>0</v>
      </c>
      <c r="J690" s="58">
        <v>3132</v>
      </c>
      <c r="K690" s="24">
        <v>500000</v>
      </c>
      <c r="L690" s="34">
        <v>100</v>
      </c>
      <c r="M690" s="20"/>
      <c r="N690" s="20"/>
      <c r="O690" s="20"/>
      <c r="P690" s="20">
        <v>250000</v>
      </c>
      <c r="Q690" s="20"/>
      <c r="R690" s="20">
        <f>214600-250000</f>
        <v>-35400</v>
      </c>
      <c r="S690" s="20">
        <v>250000</v>
      </c>
      <c r="T690" s="20"/>
      <c r="U690" s="20"/>
      <c r="V690" s="20">
        <v>35400</v>
      </c>
      <c r="W690" s="20"/>
      <c r="X690" s="20"/>
      <c r="Y690" s="118">
        <f t="shared" si="98"/>
        <v>0</v>
      </c>
      <c r="Z690" s="24">
        <f>35921-630</f>
        <v>35291</v>
      </c>
      <c r="AA690" s="118">
        <f t="shared" si="100"/>
        <v>429309</v>
      </c>
      <c r="AB690" s="118"/>
      <c r="AC690" s="24"/>
      <c r="AD690" s="118">
        <f t="shared" si="105"/>
        <v>464709</v>
      </c>
    </row>
    <row r="691" spans="1:30" ht="30.75">
      <c r="A691" s="171"/>
      <c r="B691" s="171"/>
      <c r="C691" s="171"/>
      <c r="D691" s="172"/>
      <c r="E691" s="30" t="s">
        <v>685</v>
      </c>
      <c r="F691" s="97">
        <v>2250</v>
      </c>
      <c r="G691" s="25"/>
      <c r="H691" s="24"/>
      <c r="I691" s="37"/>
      <c r="J691" s="58">
        <v>3132</v>
      </c>
      <c r="K691" s="24">
        <f>1325000-1317620</f>
        <v>7380</v>
      </c>
      <c r="L691" s="34"/>
      <c r="M691" s="20"/>
      <c r="N691" s="20"/>
      <c r="O691" s="20"/>
      <c r="P691" s="20">
        <f>80000-72620</f>
        <v>7380</v>
      </c>
      <c r="Q691" s="20"/>
      <c r="R691" s="20"/>
      <c r="S691" s="20">
        <f>400000-400000</f>
        <v>0</v>
      </c>
      <c r="T691" s="20">
        <f>400000-400000</f>
        <v>0</v>
      </c>
      <c r="U691" s="20">
        <f>445000-445000</f>
        <v>0</v>
      </c>
      <c r="V691" s="20"/>
      <c r="W691" s="20"/>
      <c r="X691" s="20"/>
      <c r="Y691" s="118">
        <f t="shared" si="98"/>
        <v>0</v>
      </c>
      <c r="Z691" s="24">
        <f>7380</f>
        <v>7380</v>
      </c>
      <c r="AA691" s="118">
        <f t="shared" si="100"/>
        <v>0</v>
      </c>
      <c r="AB691" s="118"/>
      <c r="AC691" s="24"/>
      <c r="AD691" s="118">
        <f t="shared" si="105"/>
        <v>0</v>
      </c>
    </row>
    <row r="692" spans="1:30" ht="30.75">
      <c r="A692" s="171"/>
      <c r="B692" s="171"/>
      <c r="C692" s="171"/>
      <c r="D692" s="172"/>
      <c r="E692" s="28" t="s">
        <v>583</v>
      </c>
      <c r="F692" s="97">
        <v>2481</v>
      </c>
      <c r="G692" s="20" t="s">
        <v>201</v>
      </c>
      <c r="H692" s="20">
        <v>1504874</v>
      </c>
      <c r="I692" s="33">
        <v>92.4</v>
      </c>
      <c r="J692" s="58">
        <v>3142</v>
      </c>
      <c r="K692" s="20">
        <v>227939.12</v>
      </c>
      <c r="L692" s="35">
        <v>100</v>
      </c>
      <c r="M692" s="20"/>
      <c r="N692" s="20">
        <f>127801.03+100138.09</f>
        <v>227939.12</v>
      </c>
      <c r="O692" s="20"/>
      <c r="P692" s="20">
        <v>-18232.98</v>
      </c>
      <c r="Q692" s="20"/>
      <c r="R692" s="20"/>
      <c r="S692" s="20"/>
      <c r="T692" s="20">
        <f>18232.98</f>
        <v>18232.98</v>
      </c>
      <c r="U692" s="20"/>
      <c r="V692" s="20"/>
      <c r="W692" s="20"/>
      <c r="X692" s="20"/>
      <c r="Y692" s="118">
        <f t="shared" si="98"/>
        <v>0</v>
      </c>
      <c r="Z692" s="24">
        <f>188991+15113+5602.14</f>
        <v>209706.14</v>
      </c>
      <c r="AA692" s="118">
        <f t="shared" si="100"/>
        <v>0</v>
      </c>
      <c r="AB692" s="118"/>
      <c r="AC692" s="24"/>
      <c r="AD692" s="118">
        <f t="shared" si="105"/>
        <v>18232.97999999998</v>
      </c>
    </row>
    <row r="693" spans="1:30" ht="30.75">
      <c r="A693" s="171"/>
      <c r="B693" s="171"/>
      <c r="C693" s="171"/>
      <c r="D693" s="172"/>
      <c r="E693" s="30" t="s">
        <v>634</v>
      </c>
      <c r="F693" s="97">
        <v>2482</v>
      </c>
      <c r="G693" s="25" t="s">
        <v>587</v>
      </c>
      <c r="H693" s="24">
        <v>1498938</v>
      </c>
      <c r="I693" s="37">
        <v>6.5</v>
      </c>
      <c r="J693" s="58">
        <v>3210</v>
      </c>
      <c r="K693" s="24">
        <f>1617191-217191</f>
        <v>1400000</v>
      </c>
      <c r="L693" s="34">
        <v>100</v>
      </c>
      <c r="M693" s="20"/>
      <c r="N693" s="20">
        <v>29809</v>
      </c>
      <c r="O693" s="20"/>
      <c r="P693" s="20"/>
      <c r="Q693" s="20"/>
      <c r="R693" s="20"/>
      <c r="S693" s="20"/>
      <c r="T693" s="20"/>
      <c r="U693" s="20"/>
      <c r="V693" s="20"/>
      <c r="W693" s="20">
        <v>523583.43</v>
      </c>
      <c r="X693" s="20">
        <v>846607.57</v>
      </c>
      <c r="Y693" s="118">
        <f aca="true" t="shared" si="111" ref="Y693:Y756">K693-M693-N693-O693-P693-Q693-R693-S693-T693-U693-V693-W693-X693</f>
        <v>0</v>
      </c>
      <c r="Z693" s="24"/>
      <c r="AA693" s="118">
        <f t="shared" si="100"/>
        <v>29809</v>
      </c>
      <c r="AB693" s="118"/>
      <c r="AC693" s="24"/>
      <c r="AD693" s="118">
        <f t="shared" si="105"/>
        <v>1400000</v>
      </c>
    </row>
    <row r="694" spans="1:30" ht="30.75">
      <c r="A694" s="171"/>
      <c r="B694" s="171"/>
      <c r="C694" s="171"/>
      <c r="D694" s="172"/>
      <c r="E694" s="30" t="s">
        <v>585</v>
      </c>
      <c r="F694" s="97">
        <v>2483</v>
      </c>
      <c r="G694" s="25" t="s">
        <v>586</v>
      </c>
      <c r="H694" s="24">
        <v>701029</v>
      </c>
      <c r="I694" s="37">
        <v>8.6</v>
      </c>
      <c r="J694" s="58">
        <v>3142</v>
      </c>
      <c r="K694" s="24">
        <v>201461</v>
      </c>
      <c r="L694" s="34">
        <v>31.21</v>
      </c>
      <c r="M694" s="20"/>
      <c r="N694" s="20">
        <v>25473</v>
      </c>
      <c r="O694" s="20"/>
      <c r="P694" s="20"/>
      <c r="Q694" s="20"/>
      <c r="R694" s="20"/>
      <c r="S694" s="20">
        <v>175988</v>
      </c>
      <c r="T694" s="20"/>
      <c r="U694" s="20"/>
      <c r="V694" s="20"/>
      <c r="W694" s="20"/>
      <c r="X694" s="20"/>
      <c r="Y694" s="118">
        <f t="shared" si="111"/>
        <v>0</v>
      </c>
      <c r="Z694" s="24">
        <f>25473</f>
        <v>25473</v>
      </c>
      <c r="AA694" s="118">
        <f t="shared" si="100"/>
        <v>175988</v>
      </c>
      <c r="AB694" s="118"/>
      <c r="AC694" s="24"/>
      <c r="AD694" s="118">
        <f t="shared" si="105"/>
        <v>175988</v>
      </c>
    </row>
    <row r="695" spans="1:30" ht="30.75">
      <c r="A695" s="171"/>
      <c r="B695" s="171"/>
      <c r="C695" s="171"/>
      <c r="D695" s="172"/>
      <c r="E695" s="30" t="s">
        <v>709</v>
      </c>
      <c r="F695" s="97">
        <v>2484</v>
      </c>
      <c r="G695" s="25">
        <v>2020</v>
      </c>
      <c r="H695" s="24">
        <v>217191</v>
      </c>
      <c r="I695" s="37">
        <v>0</v>
      </c>
      <c r="J695" s="58">
        <v>3210</v>
      </c>
      <c r="K695" s="24">
        <v>217191</v>
      </c>
      <c r="L695" s="34">
        <v>100</v>
      </c>
      <c r="M695" s="20"/>
      <c r="N695" s="20"/>
      <c r="O695" s="20"/>
      <c r="P695" s="20">
        <f>35000</f>
        <v>35000</v>
      </c>
      <c r="Q695" s="20"/>
      <c r="R695" s="20"/>
      <c r="S695" s="20"/>
      <c r="T695" s="20"/>
      <c r="U695" s="20"/>
      <c r="V695" s="20"/>
      <c r="W695" s="20"/>
      <c r="X695" s="20">
        <f>217191-35000</f>
        <v>182191</v>
      </c>
      <c r="Y695" s="118">
        <f t="shared" si="111"/>
        <v>0</v>
      </c>
      <c r="Z695" s="24"/>
      <c r="AA695" s="118">
        <f t="shared" si="100"/>
        <v>35000</v>
      </c>
      <c r="AB695" s="118"/>
      <c r="AC695" s="24"/>
      <c r="AD695" s="118">
        <f t="shared" si="105"/>
        <v>217191</v>
      </c>
    </row>
    <row r="696" spans="1:30" ht="30.75">
      <c r="A696" s="171"/>
      <c r="B696" s="171"/>
      <c r="C696" s="171"/>
      <c r="D696" s="172"/>
      <c r="E696" s="28" t="s">
        <v>584</v>
      </c>
      <c r="F696" s="97">
        <v>2485</v>
      </c>
      <c r="G696" s="20" t="s">
        <v>201</v>
      </c>
      <c r="H696" s="20">
        <v>1481056</v>
      </c>
      <c r="I696" s="33">
        <v>29.9</v>
      </c>
      <c r="J696" s="58">
        <v>3142</v>
      </c>
      <c r="K696" s="20">
        <v>1033202.63</v>
      </c>
      <c r="L696" s="35">
        <v>100</v>
      </c>
      <c r="M696" s="20"/>
      <c r="N696" s="20">
        <f>240000+27744.62</f>
        <v>267744.62</v>
      </c>
      <c r="O696" s="20"/>
      <c r="P696" s="20">
        <v>765458.01</v>
      </c>
      <c r="Q696" s="20"/>
      <c r="R696" s="20"/>
      <c r="S696" s="20"/>
      <c r="T696" s="20"/>
      <c r="U696" s="20"/>
      <c r="V696" s="20"/>
      <c r="W696" s="20"/>
      <c r="X696" s="20"/>
      <c r="Y696" s="118">
        <f t="shared" si="111"/>
        <v>0</v>
      </c>
      <c r="Z696" s="24">
        <f>246911.56+770811.04+280.13+9075.16</f>
        <v>1027077.8900000001</v>
      </c>
      <c r="AA696" s="118">
        <f t="shared" si="100"/>
        <v>6124.739999999874</v>
      </c>
      <c r="AB696" s="118"/>
      <c r="AC696" s="24"/>
      <c r="AD696" s="118">
        <f t="shared" si="105"/>
        <v>6124.739999999874</v>
      </c>
    </row>
    <row r="697" spans="1:30" ht="30.75">
      <c r="A697" s="171"/>
      <c r="B697" s="171"/>
      <c r="C697" s="171"/>
      <c r="D697" s="172"/>
      <c r="E697" s="30" t="s">
        <v>708</v>
      </c>
      <c r="F697" s="97">
        <v>2486</v>
      </c>
      <c r="G697" s="25">
        <v>2020</v>
      </c>
      <c r="H697" s="24">
        <v>450000</v>
      </c>
      <c r="I697" s="37">
        <v>0</v>
      </c>
      <c r="J697" s="58">
        <v>3210</v>
      </c>
      <c r="K697" s="24">
        <v>450000</v>
      </c>
      <c r="L697" s="34">
        <v>100</v>
      </c>
      <c r="M697" s="20"/>
      <c r="N697" s="20"/>
      <c r="O697" s="20"/>
      <c r="P697" s="20">
        <f>200000</f>
        <v>200000</v>
      </c>
      <c r="Q697" s="20"/>
      <c r="R697" s="20">
        <v>-196985.35</v>
      </c>
      <c r="S697" s="20">
        <v>196985.35</v>
      </c>
      <c r="T697" s="20"/>
      <c r="U697" s="20"/>
      <c r="V697" s="20"/>
      <c r="W697" s="20"/>
      <c r="X697" s="20">
        <f>450000-200000</f>
        <v>250000</v>
      </c>
      <c r="Y697" s="118">
        <f t="shared" si="111"/>
        <v>0</v>
      </c>
      <c r="Z697" s="24"/>
      <c r="AA697" s="118">
        <f t="shared" si="100"/>
        <v>200000</v>
      </c>
      <c r="AB697" s="118"/>
      <c r="AC697" s="24"/>
      <c r="AD697" s="118">
        <f t="shared" si="105"/>
        <v>450000</v>
      </c>
    </row>
    <row r="698" spans="1:30" ht="15" customHeight="1">
      <c r="A698" s="171" t="s">
        <v>140</v>
      </c>
      <c r="B698" s="171" t="s">
        <v>141</v>
      </c>
      <c r="C698" s="171" t="s">
        <v>142</v>
      </c>
      <c r="D698" s="172" t="s">
        <v>143</v>
      </c>
      <c r="E698" s="19"/>
      <c r="F698" s="96"/>
      <c r="G698" s="20"/>
      <c r="H698" s="21"/>
      <c r="I698" s="33"/>
      <c r="J698" s="58"/>
      <c r="K698" s="23">
        <f>K699</f>
        <v>80000</v>
      </c>
      <c r="L698" s="23">
        <f aca="true" t="shared" si="112" ref="L698:Z698">L699</f>
        <v>0</v>
      </c>
      <c r="M698" s="23">
        <f t="shared" si="112"/>
        <v>0</v>
      </c>
      <c r="N698" s="23">
        <f t="shared" si="112"/>
        <v>0</v>
      </c>
      <c r="O698" s="23">
        <f t="shared" si="112"/>
        <v>0</v>
      </c>
      <c r="P698" s="23">
        <f t="shared" si="112"/>
        <v>0</v>
      </c>
      <c r="Q698" s="23">
        <f t="shared" si="112"/>
        <v>0</v>
      </c>
      <c r="R698" s="23">
        <f t="shared" si="112"/>
        <v>0</v>
      </c>
      <c r="S698" s="23">
        <f t="shared" si="112"/>
        <v>0</v>
      </c>
      <c r="T698" s="23">
        <f t="shared" si="112"/>
        <v>80000</v>
      </c>
      <c r="U698" s="23">
        <f t="shared" si="112"/>
        <v>0</v>
      </c>
      <c r="V698" s="23">
        <f t="shared" si="112"/>
        <v>0</v>
      </c>
      <c r="W698" s="23">
        <f t="shared" si="112"/>
        <v>0</v>
      </c>
      <c r="X698" s="23">
        <f t="shared" si="112"/>
        <v>0</v>
      </c>
      <c r="Y698" s="118">
        <f t="shared" si="111"/>
        <v>0</v>
      </c>
      <c r="Z698" s="23">
        <f t="shared" si="112"/>
        <v>0</v>
      </c>
      <c r="AA698" s="118">
        <f t="shared" si="100"/>
        <v>0</v>
      </c>
      <c r="AB698" s="118"/>
      <c r="AC698" s="24"/>
      <c r="AD698" s="118">
        <f t="shared" si="105"/>
        <v>80000</v>
      </c>
    </row>
    <row r="699" spans="1:30" ht="21">
      <c r="A699" s="171"/>
      <c r="B699" s="171"/>
      <c r="C699" s="171"/>
      <c r="D699" s="172"/>
      <c r="E699" s="30" t="s">
        <v>842</v>
      </c>
      <c r="F699" s="97">
        <v>2603</v>
      </c>
      <c r="G699" s="25"/>
      <c r="H699" s="24"/>
      <c r="I699" s="37"/>
      <c r="J699" s="58">
        <v>2281</v>
      </c>
      <c r="K699" s="24">
        <v>80000</v>
      </c>
      <c r="L699" s="34"/>
      <c r="M699" s="20"/>
      <c r="N699" s="20"/>
      <c r="O699" s="20"/>
      <c r="P699" s="20"/>
      <c r="Q699" s="20"/>
      <c r="R699" s="20"/>
      <c r="S699" s="20"/>
      <c r="T699" s="20">
        <v>80000</v>
      </c>
      <c r="U699" s="20"/>
      <c r="V699" s="20"/>
      <c r="W699" s="20"/>
      <c r="X699" s="20"/>
      <c r="Y699" s="118">
        <f t="shared" si="111"/>
        <v>0</v>
      </c>
      <c r="Z699" s="24"/>
      <c r="AA699" s="118">
        <f t="shared" si="100"/>
        <v>0</v>
      </c>
      <c r="AB699" s="118"/>
      <c r="AC699" s="24"/>
      <c r="AD699" s="118">
        <f t="shared" si="105"/>
        <v>80000</v>
      </c>
    </row>
    <row r="700" spans="1:30" ht="21">
      <c r="A700" s="185" t="s">
        <v>144</v>
      </c>
      <c r="B700" s="185" t="s">
        <v>145</v>
      </c>
      <c r="C700" s="185" t="s">
        <v>76</v>
      </c>
      <c r="D700" s="184" t="s">
        <v>146</v>
      </c>
      <c r="E700" s="19"/>
      <c r="F700" s="96"/>
      <c r="G700" s="20"/>
      <c r="H700" s="21"/>
      <c r="I700" s="33"/>
      <c r="J700" s="58"/>
      <c r="K700" s="23">
        <f>SUM(K701:K706)</f>
        <v>6211995.4</v>
      </c>
      <c r="L700" s="23">
        <f aca="true" t="shared" si="113" ref="L700:Z700">SUM(L701:L706)</f>
        <v>500</v>
      </c>
      <c r="M700" s="23">
        <f t="shared" si="113"/>
        <v>0</v>
      </c>
      <c r="N700" s="23">
        <f t="shared" si="113"/>
        <v>696000</v>
      </c>
      <c r="O700" s="23">
        <f t="shared" si="113"/>
        <v>0</v>
      </c>
      <c r="P700" s="23">
        <f t="shared" si="113"/>
        <v>1081995.4</v>
      </c>
      <c r="Q700" s="23">
        <f t="shared" si="113"/>
        <v>1273933.87</v>
      </c>
      <c r="R700" s="23">
        <f t="shared" si="113"/>
        <v>-1759420</v>
      </c>
      <c r="S700" s="23">
        <f t="shared" si="113"/>
        <v>2121420</v>
      </c>
      <c r="T700" s="23">
        <f t="shared" si="113"/>
        <v>563066.13</v>
      </c>
      <c r="U700" s="23">
        <f t="shared" si="113"/>
        <v>0</v>
      </c>
      <c r="V700" s="23">
        <f t="shared" si="113"/>
        <v>0</v>
      </c>
      <c r="W700" s="23">
        <f t="shared" si="113"/>
        <v>0</v>
      </c>
      <c r="X700" s="23">
        <f t="shared" si="113"/>
        <v>2235000</v>
      </c>
      <c r="Y700" s="118">
        <f t="shared" si="111"/>
        <v>0</v>
      </c>
      <c r="Z700" s="23">
        <f t="shared" si="113"/>
        <v>1286030.73</v>
      </c>
      <c r="AA700" s="118">
        <f t="shared" si="100"/>
        <v>2127898.54</v>
      </c>
      <c r="AB700" s="118"/>
      <c r="AC700" s="24"/>
      <c r="AD700" s="118">
        <f t="shared" si="105"/>
        <v>4925964.67</v>
      </c>
    </row>
    <row r="701" spans="1:30" ht="62.25">
      <c r="A701" s="185"/>
      <c r="B701" s="185"/>
      <c r="C701" s="185"/>
      <c r="D701" s="184"/>
      <c r="E701" s="19" t="s">
        <v>731</v>
      </c>
      <c r="F701" s="96">
        <v>2487</v>
      </c>
      <c r="G701" s="20"/>
      <c r="H701" s="21"/>
      <c r="I701" s="33"/>
      <c r="J701" s="58">
        <v>3110</v>
      </c>
      <c r="K701" s="20">
        <v>96000</v>
      </c>
      <c r="L701" s="35"/>
      <c r="M701" s="20"/>
      <c r="N701" s="20">
        <f>48476.41+47523.59</f>
        <v>96000</v>
      </c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118">
        <f t="shared" si="111"/>
        <v>0</v>
      </c>
      <c r="Z701" s="24">
        <f>96000</f>
        <v>96000</v>
      </c>
      <c r="AA701" s="118">
        <f t="shared" si="100"/>
        <v>0</v>
      </c>
      <c r="AB701" s="118"/>
      <c r="AC701" s="24"/>
      <c r="AD701" s="118">
        <f t="shared" si="105"/>
        <v>0</v>
      </c>
    </row>
    <row r="702" spans="1:30" ht="46.5">
      <c r="A702" s="185"/>
      <c r="B702" s="185"/>
      <c r="C702" s="185"/>
      <c r="D702" s="184"/>
      <c r="E702" s="30" t="s">
        <v>588</v>
      </c>
      <c r="F702" s="97">
        <v>2488</v>
      </c>
      <c r="G702" s="54">
        <v>2020</v>
      </c>
      <c r="H702" s="50">
        <v>809000</v>
      </c>
      <c r="I702" s="33">
        <v>0</v>
      </c>
      <c r="J702" s="58">
        <v>3122</v>
      </c>
      <c r="K702" s="20">
        <v>809000</v>
      </c>
      <c r="L702" s="35">
        <v>100</v>
      </c>
      <c r="M702" s="20"/>
      <c r="N702" s="20"/>
      <c r="O702" s="20"/>
      <c r="P702" s="20"/>
      <c r="Q702" s="20">
        <v>809000</v>
      </c>
      <c r="R702" s="20">
        <f>-519000</f>
        <v>-519000</v>
      </c>
      <c r="S702" s="20">
        <f>519000</f>
        <v>519000</v>
      </c>
      <c r="T702" s="20"/>
      <c r="U702" s="20"/>
      <c r="V702" s="20"/>
      <c r="W702" s="20"/>
      <c r="X702" s="20"/>
      <c r="Y702" s="118">
        <f t="shared" si="111"/>
        <v>0</v>
      </c>
      <c r="Z702" s="24">
        <f>290000</f>
        <v>290000</v>
      </c>
      <c r="AA702" s="118">
        <f t="shared" si="100"/>
        <v>519000</v>
      </c>
      <c r="AB702" s="118"/>
      <c r="AC702" s="24"/>
      <c r="AD702" s="118">
        <f t="shared" si="105"/>
        <v>519000</v>
      </c>
    </row>
    <row r="703" spans="1:30" ht="30.75">
      <c r="A703" s="185"/>
      <c r="B703" s="185"/>
      <c r="C703" s="185"/>
      <c r="D703" s="184"/>
      <c r="E703" s="30" t="s">
        <v>589</v>
      </c>
      <c r="F703" s="97">
        <v>2489</v>
      </c>
      <c r="G703" s="54">
        <v>2020</v>
      </c>
      <c r="H703" s="50">
        <v>1600000</v>
      </c>
      <c r="I703" s="33">
        <v>0</v>
      </c>
      <c r="J703" s="58">
        <v>3122</v>
      </c>
      <c r="K703" s="20">
        <v>1600000</v>
      </c>
      <c r="L703" s="35">
        <v>100</v>
      </c>
      <c r="M703" s="20"/>
      <c r="N703" s="20"/>
      <c r="O703" s="20"/>
      <c r="P703" s="20">
        <f>800000-590000</f>
        <v>210000</v>
      </c>
      <c r="Q703" s="20">
        <f>800000-335066.13</f>
        <v>464933.87</v>
      </c>
      <c r="R703" s="20">
        <f>-332420-324000</f>
        <v>-656420</v>
      </c>
      <c r="S703" s="20">
        <f>590000+320000+332420</f>
        <v>1242420</v>
      </c>
      <c r="T703" s="20">
        <f>15066.13+324000</f>
        <v>339066.13</v>
      </c>
      <c r="U703" s="20"/>
      <c r="V703" s="20"/>
      <c r="W703" s="20"/>
      <c r="X703" s="20"/>
      <c r="Y703" s="118">
        <f t="shared" si="111"/>
        <v>-1.1641532182693481E-10</v>
      </c>
      <c r="Z703" s="24"/>
      <c r="AA703" s="118">
        <f t="shared" si="100"/>
        <v>1260933.87</v>
      </c>
      <c r="AB703" s="118"/>
      <c r="AC703" s="24"/>
      <c r="AD703" s="118">
        <f t="shared" si="105"/>
        <v>1600000</v>
      </c>
    </row>
    <row r="704" spans="1:30" ht="46.5">
      <c r="A704" s="185"/>
      <c r="B704" s="185"/>
      <c r="C704" s="185"/>
      <c r="D704" s="184"/>
      <c r="E704" s="30" t="s">
        <v>590</v>
      </c>
      <c r="F704" s="97">
        <v>2490</v>
      </c>
      <c r="G704" s="54">
        <v>2020</v>
      </c>
      <c r="H704" s="50">
        <v>659800</v>
      </c>
      <c r="I704" s="33">
        <v>0</v>
      </c>
      <c r="J704" s="58">
        <v>3122</v>
      </c>
      <c r="K704" s="20">
        <v>659800</v>
      </c>
      <c r="L704" s="35">
        <v>100</v>
      </c>
      <c r="M704" s="20"/>
      <c r="N704" s="20"/>
      <c r="O704" s="20"/>
      <c r="P704" s="20">
        <f>659800-435000</f>
        <v>224800</v>
      </c>
      <c r="Q704" s="20"/>
      <c r="R704" s="20">
        <v>-224000</v>
      </c>
      <c r="S704" s="20"/>
      <c r="T704" s="20">
        <f>224000</f>
        <v>224000</v>
      </c>
      <c r="U704" s="20"/>
      <c r="V704" s="20"/>
      <c r="W704" s="20"/>
      <c r="X704" s="20">
        <f>435000</f>
        <v>435000</v>
      </c>
      <c r="Y704" s="118">
        <f t="shared" si="111"/>
        <v>0</v>
      </c>
      <c r="Z704" s="24"/>
      <c r="AA704" s="118">
        <f t="shared" si="100"/>
        <v>800</v>
      </c>
      <c r="AB704" s="118"/>
      <c r="AC704" s="24"/>
      <c r="AD704" s="118">
        <f t="shared" si="105"/>
        <v>659800</v>
      </c>
    </row>
    <row r="705" spans="1:30" ht="46.5">
      <c r="A705" s="185"/>
      <c r="B705" s="185"/>
      <c r="C705" s="185"/>
      <c r="D705" s="184"/>
      <c r="E705" s="62" t="s">
        <v>592</v>
      </c>
      <c r="F705" s="136">
        <v>2491</v>
      </c>
      <c r="G705" s="20" t="s">
        <v>587</v>
      </c>
      <c r="H705" s="20">
        <v>5275576</v>
      </c>
      <c r="I705" s="33">
        <v>52</v>
      </c>
      <c r="J705" s="58">
        <v>3210</v>
      </c>
      <c r="K705" s="20">
        <v>2000000</v>
      </c>
      <c r="L705" s="35">
        <v>100</v>
      </c>
      <c r="M705" s="20"/>
      <c r="N705" s="20"/>
      <c r="O705" s="20"/>
      <c r="P705" s="20">
        <f>200000</f>
        <v>200000</v>
      </c>
      <c r="Q705" s="20"/>
      <c r="R705" s="20">
        <v>-200000</v>
      </c>
      <c r="S705" s="20">
        <v>200000</v>
      </c>
      <c r="T705" s="20"/>
      <c r="U705" s="20"/>
      <c r="V705" s="20"/>
      <c r="W705" s="20"/>
      <c r="X705" s="20">
        <f>2000000-200000</f>
        <v>1800000</v>
      </c>
      <c r="Y705" s="118">
        <f t="shared" si="111"/>
        <v>0</v>
      </c>
      <c r="Z705" s="24"/>
      <c r="AA705" s="118">
        <f t="shared" si="100"/>
        <v>200000</v>
      </c>
      <c r="AB705" s="118"/>
      <c r="AC705" s="24"/>
      <c r="AD705" s="118">
        <f t="shared" si="105"/>
        <v>2000000</v>
      </c>
    </row>
    <row r="706" spans="1:30" ht="30.75">
      <c r="A706" s="185"/>
      <c r="B706" s="185"/>
      <c r="C706" s="185"/>
      <c r="D706" s="184"/>
      <c r="E706" s="62" t="s">
        <v>591</v>
      </c>
      <c r="F706" s="136">
        <v>2492</v>
      </c>
      <c r="G706" s="20" t="s">
        <v>197</v>
      </c>
      <c r="H706" s="50">
        <v>2894693</v>
      </c>
      <c r="I706" s="33">
        <v>52</v>
      </c>
      <c r="J706" s="58">
        <v>3122</v>
      </c>
      <c r="K706" s="20">
        <v>1047195.4</v>
      </c>
      <c r="L706" s="35">
        <v>100</v>
      </c>
      <c r="M706" s="20"/>
      <c r="N706" s="20">
        <v>600000</v>
      </c>
      <c r="O706" s="20"/>
      <c r="P706" s="20">
        <v>447195.4</v>
      </c>
      <c r="Q706" s="20"/>
      <c r="R706" s="20">
        <v>-160000</v>
      </c>
      <c r="S706" s="20">
        <v>160000</v>
      </c>
      <c r="T706" s="20"/>
      <c r="U706" s="20"/>
      <c r="V706" s="20"/>
      <c r="W706" s="20"/>
      <c r="X706" s="20"/>
      <c r="Y706" s="118">
        <f t="shared" si="111"/>
        <v>0</v>
      </c>
      <c r="Z706" s="24">
        <f>921238-192704.8+171497.53</f>
        <v>900030.73</v>
      </c>
      <c r="AA706" s="118">
        <f t="shared" si="100"/>
        <v>147164.67000000004</v>
      </c>
      <c r="AB706" s="118"/>
      <c r="AC706" s="24"/>
      <c r="AD706" s="118">
        <f t="shared" si="105"/>
        <v>147164.67000000004</v>
      </c>
    </row>
    <row r="707" spans="1:30" ht="21">
      <c r="A707" s="185" t="s">
        <v>147</v>
      </c>
      <c r="B707" s="185" t="s">
        <v>115</v>
      </c>
      <c r="C707" s="184" t="s">
        <v>116</v>
      </c>
      <c r="D707" s="184" t="s">
        <v>117</v>
      </c>
      <c r="E707" s="19"/>
      <c r="F707" s="96"/>
      <c r="G707" s="20"/>
      <c r="H707" s="21"/>
      <c r="I707" s="33"/>
      <c r="J707" s="58"/>
      <c r="K707" s="23">
        <f aca="true" t="shared" si="114" ref="K707:X707">SUM(K708:K752)</f>
        <v>146551732.01000002</v>
      </c>
      <c r="L707" s="23">
        <f t="shared" si="114"/>
        <v>3512.1</v>
      </c>
      <c r="M707" s="23">
        <f t="shared" si="114"/>
        <v>0</v>
      </c>
      <c r="N707" s="23">
        <f t="shared" si="114"/>
        <v>9061986.409999998</v>
      </c>
      <c r="O707" s="23">
        <f t="shared" si="114"/>
        <v>8764505.530000001</v>
      </c>
      <c r="P707" s="23">
        <f t="shared" si="114"/>
        <v>30600510.79</v>
      </c>
      <c r="Q707" s="23">
        <f t="shared" si="114"/>
        <v>20557303.970000003</v>
      </c>
      <c r="R707" s="23">
        <f t="shared" si="114"/>
        <v>2561716.06</v>
      </c>
      <c r="S707" s="23">
        <f t="shared" si="114"/>
        <v>40552692.2</v>
      </c>
      <c r="T707" s="23">
        <f t="shared" si="114"/>
        <v>16318700.89</v>
      </c>
      <c r="U707" s="23">
        <f t="shared" si="114"/>
        <v>6847712.87</v>
      </c>
      <c r="V707" s="23">
        <f t="shared" si="114"/>
        <v>9221842.73</v>
      </c>
      <c r="W707" s="23">
        <f t="shared" si="114"/>
        <v>1883464.96</v>
      </c>
      <c r="X707" s="23">
        <f t="shared" si="114"/>
        <v>181295.6</v>
      </c>
      <c r="Y707" s="118">
        <f t="shared" si="111"/>
        <v>2.4767359718680382E-08</v>
      </c>
      <c r="Z707" s="23">
        <f>SUM(Z708:Z752)</f>
        <v>80931090.38000003</v>
      </c>
      <c r="AA707" s="118">
        <f t="shared" si="100"/>
        <v>31167624.579999983</v>
      </c>
      <c r="AB707" s="118"/>
      <c r="AC707" s="24"/>
      <c r="AD707" s="118">
        <f t="shared" si="105"/>
        <v>65620641.629999995</v>
      </c>
    </row>
    <row r="708" spans="1:30" ht="30.75">
      <c r="A708" s="185"/>
      <c r="B708" s="185"/>
      <c r="C708" s="184"/>
      <c r="D708" s="184"/>
      <c r="E708" s="28" t="s">
        <v>621</v>
      </c>
      <c r="F708" s="136">
        <v>2493</v>
      </c>
      <c r="G708" s="25" t="s">
        <v>201</v>
      </c>
      <c r="H708" s="24">
        <v>2312792</v>
      </c>
      <c r="I708" s="37">
        <v>45</v>
      </c>
      <c r="J708" s="58">
        <v>3132</v>
      </c>
      <c r="K708" s="24">
        <v>1400000</v>
      </c>
      <c r="L708" s="34">
        <v>100</v>
      </c>
      <c r="M708" s="20"/>
      <c r="N708" s="20">
        <v>208031.83</v>
      </c>
      <c r="O708" s="20"/>
      <c r="P708" s="20"/>
      <c r="Q708" s="20"/>
      <c r="R708" s="20"/>
      <c r="S708" s="20">
        <v>1191968.17</v>
      </c>
      <c r="T708" s="20"/>
      <c r="U708" s="20"/>
      <c r="V708" s="20"/>
      <c r="W708" s="20"/>
      <c r="X708" s="20"/>
      <c r="Y708" s="118">
        <f t="shared" si="111"/>
        <v>0</v>
      </c>
      <c r="Z708" s="24">
        <f>207831.83+11466.8</f>
        <v>219298.62999999998</v>
      </c>
      <c r="AA708" s="118">
        <f t="shared" si="100"/>
        <v>1180701.37</v>
      </c>
      <c r="AB708" s="118"/>
      <c r="AC708" s="24"/>
      <c r="AD708" s="118">
        <f t="shared" si="105"/>
        <v>1180701.37</v>
      </c>
    </row>
    <row r="709" spans="1:30" ht="30.75">
      <c r="A709" s="185"/>
      <c r="B709" s="185"/>
      <c r="C709" s="184"/>
      <c r="D709" s="184"/>
      <c r="E709" s="28" t="s">
        <v>682</v>
      </c>
      <c r="F709" s="136">
        <v>2494</v>
      </c>
      <c r="G709" s="25">
        <v>2020</v>
      </c>
      <c r="H709" s="24">
        <v>1450000</v>
      </c>
      <c r="I709" s="37">
        <v>0</v>
      </c>
      <c r="J709" s="58">
        <v>3132</v>
      </c>
      <c r="K709" s="24">
        <v>1450000</v>
      </c>
      <c r="L709" s="34">
        <v>100</v>
      </c>
      <c r="M709" s="20"/>
      <c r="N709" s="20"/>
      <c r="O709" s="20">
        <f>46900</f>
        <v>46900</v>
      </c>
      <c r="P709" s="20">
        <v>15776</v>
      </c>
      <c r="Q709" s="20"/>
      <c r="R709" s="20"/>
      <c r="S709" s="20">
        <f>1200000</f>
        <v>1200000</v>
      </c>
      <c r="T709" s="20">
        <f>725000-46900-15776-662324</f>
        <v>0</v>
      </c>
      <c r="U709" s="20"/>
      <c r="V709" s="20">
        <f>725000-537676</f>
        <v>187324</v>
      </c>
      <c r="W709" s="20"/>
      <c r="X709" s="20"/>
      <c r="Y709" s="118">
        <f t="shared" si="111"/>
        <v>0</v>
      </c>
      <c r="Z709" s="24">
        <f>46900+15776+1180588</f>
        <v>1243264</v>
      </c>
      <c r="AA709" s="118">
        <f t="shared" si="100"/>
        <v>19412</v>
      </c>
      <c r="AB709" s="118"/>
      <c r="AC709" s="24"/>
      <c r="AD709" s="118">
        <f t="shared" si="105"/>
        <v>206736</v>
      </c>
    </row>
    <row r="710" spans="1:30" ht="30.75">
      <c r="A710" s="185"/>
      <c r="B710" s="185"/>
      <c r="C710" s="184"/>
      <c r="D710" s="184"/>
      <c r="E710" s="28" t="s">
        <v>620</v>
      </c>
      <c r="F710" s="136">
        <v>2495</v>
      </c>
      <c r="G710" s="25" t="s">
        <v>201</v>
      </c>
      <c r="H710" s="24">
        <v>1609940</v>
      </c>
      <c r="I710" s="37">
        <v>44.1</v>
      </c>
      <c r="J710" s="58">
        <v>3132</v>
      </c>
      <c r="K710" s="24">
        <v>843928</v>
      </c>
      <c r="L710" s="34">
        <v>100</v>
      </c>
      <c r="M710" s="20"/>
      <c r="N710" s="20"/>
      <c r="O710" s="20">
        <v>10081.6</v>
      </c>
      <c r="P710" s="20"/>
      <c r="Q710" s="20">
        <f>70000</f>
        <v>70000</v>
      </c>
      <c r="R710" s="20">
        <v>250000</v>
      </c>
      <c r="S710" s="20">
        <f>833846.4-70000-250000</f>
        <v>513846.4</v>
      </c>
      <c r="T710" s="20"/>
      <c r="U710" s="20"/>
      <c r="V710" s="20"/>
      <c r="W710" s="20"/>
      <c r="X710" s="20"/>
      <c r="Y710" s="118">
        <f t="shared" si="111"/>
        <v>0</v>
      </c>
      <c r="Z710" s="24">
        <f>9178.47+69700.33</f>
        <v>78878.8</v>
      </c>
      <c r="AA710" s="118">
        <f t="shared" si="100"/>
        <v>765049.2</v>
      </c>
      <c r="AB710" s="118"/>
      <c r="AC710" s="24"/>
      <c r="AD710" s="118">
        <f t="shared" si="105"/>
        <v>765049.2</v>
      </c>
    </row>
    <row r="711" spans="1:30" ht="46.5">
      <c r="A711" s="185"/>
      <c r="B711" s="185"/>
      <c r="C711" s="184"/>
      <c r="D711" s="184"/>
      <c r="E711" s="26" t="s">
        <v>878</v>
      </c>
      <c r="F711" s="136">
        <v>2496</v>
      </c>
      <c r="G711" s="25">
        <v>2020</v>
      </c>
      <c r="H711" s="24">
        <v>1300000</v>
      </c>
      <c r="I711" s="37">
        <v>0</v>
      </c>
      <c r="J711" s="58">
        <v>3132</v>
      </c>
      <c r="K711" s="24">
        <v>1300000</v>
      </c>
      <c r="L711" s="34">
        <v>100</v>
      </c>
      <c r="M711" s="20"/>
      <c r="N711" s="20"/>
      <c r="O711" s="20"/>
      <c r="P711" s="20">
        <f>15497.96+70000</f>
        <v>85497.95999999999</v>
      </c>
      <c r="Q711" s="20"/>
      <c r="R711" s="20"/>
      <c r="S711" s="20">
        <v>250</v>
      </c>
      <c r="T711" s="20">
        <f>650000-15497.96-70000-250</f>
        <v>564252.04</v>
      </c>
      <c r="U711" s="20"/>
      <c r="V711" s="20">
        <v>650000</v>
      </c>
      <c r="W711" s="20"/>
      <c r="X711" s="20"/>
      <c r="Y711" s="118">
        <f t="shared" si="111"/>
        <v>0</v>
      </c>
      <c r="Z711" s="24">
        <f>70000+15746</f>
        <v>85746</v>
      </c>
      <c r="AA711" s="118">
        <f t="shared" si="100"/>
        <v>1.959999999991851</v>
      </c>
      <c r="AB711" s="118"/>
      <c r="AC711" s="24"/>
      <c r="AD711" s="118">
        <f t="shared" si="105"/>
        <v>1214254</v>
      </c>
    </row>
    <row r="712" spans="1:30" ht="30.75">
      <c r="A712" s="185"/>
      <c r="B712" s="185"/>
      <c r="C712" s="184"/>
      <c r="D712" s="184"/>
      <c r="E712" s="28" t="s">
        <v>635</v>
      </c>
      <c r="F712" s="136">
        <v>2497</v>
      </c>
      <c r="G712" s="25">
        <v>2020</v>
      </c>
      <c r="H712" s="24">
        <v>1450000</v>
      </c>
      <c r="I712" s="37">
        <v>0</v>
      </c>
      <c r="J712" s="58">
        <v>3132</v>
      </c>
      <c r="K712" s="24">
        <f>1450000-90000</f>
        <v>1360000</v>
      </c>
      <c r="L712" s="34">
        <v>100</v>
      </c>
      <c r="M712" s="20"/>
      <c r="N712" s="20"/>
      <c r="O712" s="20">
        <f>46900</f>
        <v>46900</v>
      </c>
      <c r="P712" s="20">
        <v>15219</v>
      </c>
      <c r="Q712" s="20"/>
      <c r="R712" s="20"/>
      <c r="S712" s="20"/>
      <c r="T712" s="20">
        <f>725000-46900-15219</f>
        <v>662881</v>
      </c>
      <c r="U712" s="20"/>
      <c r="V712" s="20">
        <f>725000-90000</f>
        <v>635000</v>
      </c>
      <c r="W712" s="20"/>
      <c r="X712" s="20"/>
      <c r="Y712" s="118">
        <f t="shared" si="111"/>
        <v>0</v>
      </c>
      <c r="Z712" s="24">
        <f>46900+15219</f>
        <v>62119</v>
      </c>
      <c r="AA712" s="118">
        <f t="shared" si="100"/>
        <v>0</v>
      </c>
      <c r="AB712" s="118"/>
      <c r="AC712" s="24"/>
      <c r="AD712" s="118">
        <f t="shared" si="105"/>
        <v>1297881</v>
      </c>
    </row>
    <row r="713" spans="1:30" ht="30.75">
      <c r="A713" s="185"/>
      <c r="B713" s="185"/>
      <c r="C713" s="184"/>
      <c r="D713" s="184"/>
      <c r="E713" s="30" t="s">
        <v>705</v>
      </c>
      <c r="F713" s="136">
        <v>2498</v>
      </c>
      <c r="G713" s="25">
        <v>2020</v>
      </c>
      <c r="H713" s="24">
        <v>1450000</v>
      </c>
      <c r="I713" s="37">
        <v>0</v>
      </c>
      <c r="J713" s="58">
        <v>3132</v>
      </c>
      <c r="K713" s="24">
        <v>1450000</v>
      </c>
      <c r="L713" s="34">
        <v>100</v>
      </c>
      <c r="M713" s="20"/>
      <c r="N713" s="20"/>
      <c r="O713" s="20"/>
      <c r="P713" s="20">
        <f>15683+56212</f>
        <v>71895</v>
      </c>
      <c r="Q713" s="20"/>
      <c r="R713" s="20"/>
      <c r="S713" s="20">
        <f>6500</f>
        <v>6500</v>
      </c>
      <c r="T713" s="20">
        <f>725000-15683-56212-6500</f>
        <v>646605</v>
      </c>
      <c r="U713" s="20"/>
      <c r="V713" s="20">
        <v>725000</v>
      </c>
      <c r="W713" s="20"/>
      <c r="X713" s="20"/>
      <c r="Y713" s="118">
        <f t="shared" si="111"/>
        <v>0</v>
      </c>
      <c r="Z713" s="24">
        <f>71895+6457</f>
        <v>78352</v>
      </c>
      <c r="AA713" s="118">
        <f t="shared" si="100"/>
        <v>43</v>
      </c>
      <c r="AB713" s="118"/>
      <c r="AC713" s="24"/>
      <c r="AD713" s="118">
        <f t="shared" si="105"/>
        <v>1371648</v>
      </c>
    </row>
    <row r="714" spans="1:30" ht="30.75">
      <c r="A714" s="185"/>
      <c r="B714" s="185"/>
      <c r="C714" s="184"/>
      <c r="D714" s="184"/>
      <c r="E714" s="28" t="s">
        <v>683</v>
      </c>
      <c r="F714" s="136">
        <v>2499</v>
      </c>
      <c r="G714" s="25">
        <v>2020</v>
      </c>
      <c r="H714" s="24">
        <v>200000</v>
      </c>
      <c r="I714" s="37">
        <v>0</v>
      </c>
      <c r="J714" s="58">
        <v>3132</v>
      </c>
      <c r="K714" s="24">
        <v>200000</v>
      </c>
      <c r="L714" s="34">
        <v>100</v>
      </c>
      <c r="M714" s="20"/>
      <c r="N714" s="20"/>
      <c r="O714" s="20">
        <f>9355</f>
        <v>9355</v>
      </c>
      <c r="P714" s="20">
        <f>15219</f>
        <v>15219</v>
      </c>
      <c r="Q714" s="20"/>
      <c r="R714" s="20"/>
      <c r="S714" s="20"/>
      <c r="T714" s="20"/>
      <c r="U714" s="20">
        <f>200000-9355-15219</f>
        <v>175426</v>
      </c>
      <c r="V714" s="20"/>
      <c r="W714" s="20"/>
      <c r="X714" s="20"/>
      <c r="Y714" s="118">
        <f t="shared" si="111"/>
        <v>0</v>
      </c>
      <c r="Z714" s="24">
        <f>9355+15219</f>
        <v>24574</v>
      </c>
      <c r="AA714" s="118">
        <f t="shared" si="100"/>
        <v>0</v>
      </c>
      <c r="AB714" s="118"/>
      <c r="AC714" s="24"/>
      <c r="AD714" s="118">
        <f t="shared" si="105"/>
        <v>175426</v>
      </c>
    </row>
    <row r="715" spans="1:30" ht="30.75">
      <c r="A715" s="185"/>
      <c r="B715" s="185"/>
      <c r="C715" s="184"/>
      <c r="D715" s="184"/>
      <c r="E715" s="26" t="s">
        <v>684</v>
      </c>
      <c r="F715" s="136">
        <v>2500</v>
      </c>
      <c r="G715" s="25">
        <v>2020</v>
      </c>
      <c r="H715" s="24">
        <v>1400000</v>
      </c>
      <c r="I715" s="37">
        <v>0</v>
      </c>
      <c r="J715" s="58">
        <v>3132</v>
      </c>
      <c r="K715" s="24">
        <v>1400000</v>
      </c>
      <c r="L715" s="34">
        <v>100</v>
      </c>
      <c r="M715" s="20"/>
      <c r="N715" s="20"/>
      <c r="O715" s="20"/>
      <c r="P715" s="20">
        <f>15126+45759</f>
        <v>60885</v>
      </c>
      <c r="Q715" s="20"/>
      <c r="R715" s="20"/>
      <c r="S715" s="20">
        <f>15425</f>
        <v>15425</v>
      </c>
      <c r="T715" s="20">
        <f>700000-15126-45759-15425</f>
        <v>623690</v>
      </c>
      <c r="U715" s="20"/>
      <c r="V715" s="20">
        <v>700000</v>
      </c>
      <c r="W715" s="20"/>
      <c r="X715" s="20"/>
      <c r="Y715" s="118">
        <f t="shared" si="111"/>
        <v>0</v>
      </c>
      <c r="Z715" s="24">
        <f>60885+15425</f>
        <v>76310</v>
      </c>
      <c r="AA715" s="118">
        <f t="shared" si="100"/>
        <v>0</v>
      </c>
      <c r="AB715" s="118"/>
      <c r="AC715" s="24"/>
      <c r="AD715" s="118">
        <f t="shared" si="105"/>
        <v>1323690</v>
      </c>
    </row>
    <row r="716" spans="1:30" ht="30.75">
      <c r="A716" s="185"/>
      <c r="B716" s="185"/>
      <c r="C716" s="184"/>
      <c r="D716" s="184"/>
      <c r="E716" s="28" t="s">
        <v>619</v>
      </c>
      <c r="F716" s="136">
        <v>2501</v>
      </c>
      <c r="G716" s="25" t="s">
        <v>201</v>
      </c>
      <c r="H716" s="24">
        <v>1483867</v>
      </c>
      <c r="I716" s="37">
        <v>5.5</v>
      </c>
      <c r="J716" s="58">
        <v>3132</v>
      </c>
      <c r="K716" s="24">
        <v>838910</v>
      </c>
      <c r="L716" s="34">
        <v>100</v>
      </c>
      <c r="M716" s="20"/>
      <c r="N716" s="20">
        <v>299000</v>
      </c>
      <c r="O716" s="20">
        <v>11747.5</v>
      </c>
      <c r="P716" s="20"/>
      <c r="Q716" s="20"/>
      <c r="R716" s="20"/>
      <c r="S716" s="20">
        <v>528162.5</v>
      </c>
      <c r="T716" s="20"/>
      <c r="U716" s="20"/>
      <c r="V716" s="20"/>
      <c r="W716" s="20"/>
      <c r="X716" s="20"/>
      <c r="Y716" s="118">
        <f t="shared" si="111"/>
        <v>0</v>
      </c>
      <c r="Z716" s="24">
        <f>299000+11747.5+303291.59</f>
        <v>614039.0900000001</v>
      </c>
      <c r="AA716" s="118">
        <f t="shared" si="100"/>
        <v>224870.90999999992</v>
      </c>
      <c r="AB716" s="118"/>
      <c r="AC716" s="24"/>
      <c r="AD716" s="118">
        <f t="shared" si="105"/>
        <v>224870.90999999992</v>
      </c>
    </row>
    <row r="717" spans="1:30" ht="30.75">
      <c r="A717" s="185"/>
      <c r="B717" s="185"/>
      <c r="C717" s="184"/>
      <c r="D717" s="184"/>
      <c r="E717" s="26" t="s">
        <v>625</v>
      </c>
      <c r="F717" s="136">
        <v>2502</v>
      </c>
      <c r="G717" s="25" t="s">
        <v>201</v>
      </c>
      <c r="H717" s="24">
        <v>1608803</v>
      </c>
      <c r="I717" s="37">
        <v>10.7</v>
      </c>
      <c r="J717" s="58">
        <v>3132</v>
      </c>
      <c r="K717" s="24">
        <v>18531</v>
      </c>
      <c r="L717" s="34">
        <v>11.8</v>
      </c>
      <c r="M717" s="20"/>
      <c r="N717" s="20"/>
      <c r="O717" s="20"/>
      <c r="P717" s="20"/>
      <c r="Q717" s="20"/>
      <c r="R717" s="20"/>
      <c r="S717" s="20">
        <v>18531</v>
      </c>
      <c r="T717" s="20"/>
      <c r="U717" s="20"/>
      <c r="V717" s="20"/>
      <c r="W717" s="20"/>
      <c r="X717" s="20"/>
      <c r="Y717" s="118">
        <f t="shared" si="111"/>
        <v>0</v>
      </c>
      <c r="Z717" s="24"/>
      <c r="AA717" s="118">
        <f t="shared" si="100"/>
        <v>18531</v>
      </c>
      <c r="AB717" s="118"/>
      <c r="AC717" s="24"/>
      <c r="AD717" s="118">
        <f t="shared" si="105"/>
        <v>18531</v>
      </c>
    </row>
    <row r="718" spans="1:30" ht="30.75">
      <c r="A718" s="185"/>
      <c r="B718" s="185"/>
      <c r="C718" s="184"/>
      <c r="D718" s="184"/>
      <c r="E718" s="28" t="s">
        <v>622</v>
      </c>
      <c r="F718" s="136">
        <v>2503</v>
      </c>
      <c r="G718" s="25" t="s">
        <v>623</v>
      </c>
      <c r="H718" s="24">
        <v>6623349</v>
      </c>
      <c r="I718" s="37">
        <v>99</v>
      </c>
      <c r="J718" s="58">
        <v>3132</v>
      </c>
      <c r="K718" s="24">
        <v>225374.49</v>
      </c>
      <c r="L718" s="34">
        <v>100</v>
      </c>
      <c r="M718" s="20"/>
      <c r="N718" s="20">
        <v>50000</v>
      </c>
      <c r="O718" s="20"/>
      <c r="P718" s="20">
        <v>-20706.85</v>
      </c>
      <c r="Q718" s="20"/>
      <c r="R718" s="20"/>
      <c r="S718" s="20">
        <v>175374.49</v>
      </c>
      <c r="T718" s="20">
        <f>20706.85</f>
        <v>20706.85</v>
      </c>
      <c r="U718" s="20"/>
      <c r="V718" s="20"/>
      <c r="W718" s="20"/>
      <c r="X718" s="20"/>
      <c r="Y718" s="118">
        <f t="shared" si="111"/>
        <v>7.275957614183426E-12</v>
      </c>
      <c r="Z718" s="24"/>
      <c r="AA718" s="118">
        <f t="shared" si="100"/>
        <v>204667.63999999998</v>
      </c>
      <c r="AB718" s="118"/>
      <c r="AC718" s="24"/>
      <c r="AD718" s="118">
        <f t="shared" si="105"/>
        <v>225374.49</v>
      </c>
    </row>
    <row r="719" spans="1:30" ht="30.75">
      <c r="A719" s="185"/>
      <c r="B719" s="185"/>
      <c r="C719" s="184"/>
      <c r="D719" s="184"/>
      <c r="E719" s="28" t="s">
        <v>624</v>
      </c>
      <c r="F719" s="136">
        <v>2504</v>
      </c>
      <c r="G719" s="25" t="s">
        <v>598</v>
      </c>
      <c r="H719" s="24">
        <v>12770205</v>
      </c>
      <c r="I719" s="37">
        <v>33.5</v>
      </c>
      <c r="J719" s="58">
        <v>3132</v>
      </c>
      <c r="K719" s="24">
        <f>1493486.05+4000000</f>
        <v>5493486.05</v>
      </c>
      <c r="L719" s="34">
        <v>45.2</v>
      </c>
      <c r="M719" s="20"/>
      <c r="N719" s="20">
        <f>260000+153454.1</f>
        <v>413454.1</v>
      </c>
      <c r="O719" s="20">
        <f>900000</f>
        <v>900000</v>
      </c>
      <c r="P719" s="20"/>
      <c r="Q719" s="20">
        <f>379650.32-199618.37+172000</f>
        <v>352031.95</v>
      </c>
      <c r="R719" s="20">
        <v>548000</v>
      </c>
      <c r="S719" s="20">
        <f>700381.63-700381.63+550000</f>
        <v>550000</v>
      </c>
      <c r="T719" s="20">
        <f>4000000-172000-548000-550000</f>
        <v>2730000</v>
      </c>
      <c r="U719" s="20"/>
      <c r="V719" s="20"/>
      <c r="W719" s="20"/>
      <c r="X719" s="20"/>
      <c r="Y719" s="118">
        <f t="shared" si="111"/>
        <v>0</v>
      </c>
      <c r="Z719" s="24">
        <f>358785.83+44621.69+658538.27+7400.77+240000-10008.48+351796.53+532022.55+530142.23</f>
        <v>2713299.39</v>
      </c>
      <c r="AA719" s="118">
        <f t="shared" si="100"/>
        <v>50186.65999999968</v>
      </c>
      <c r="AB719" s="118"/>
      <c r="AC719" s="24"/>
      <c r="AD719" s="118">
        <f t="shared" si="105"/>
        <v>2780186.6599999997</v>
      </c>
    </row>
    <row r="720" spans="1:30" ht="30.75">
      <c r="A720" s="185"/>
      <c r="B720" s="185"/>
      <c r="C720" s="184"/>
      <c r="D720" s="184"/>
      <c r="E720" s="62" t="s">
        <v>626</v>
      </c>
      <c r="F720" s="136">
        <v>2505</v>
      </c>
      <c r="G720" s="25" t="s">
        <v>197</v>
      </c>
      <c r="H720" s="24">
        <v>40871184</v>
      </c>
      <c r="I720" s="37">
        <v>71.3</v>
      </c>
      <c r="J720" s="58">
        <v>3132</v>
      </c>
      <c r="K720" s="24">
        <v>8900000</v>
      </c>
      <c r="L720" s="34">
        <v>100</v>
      </c>
      <c r="M720" s="20"/>
      <c r="N720" s="20">
        <f>1136331.6+29810.35</f>
        <v>1166141.9500000002</v>
      </c>
      <c r="O720" s="20"/>
      <c r="P720" s="20"/>
      <c r="Q720" s="20">
        <f>3354720.84-798171</f>
        <v>2556549.84</v>
      </c>
      <c r="R720" s="20">
        <f>752296.06-780000</f>
        <v>-27703.939999999944</v>
      </c>
      <c r="S720" s="20">
        <f>3626841.15+798171+780000-82150-550000</f>
        <v>4572862.15</v>
      </c>
      <c r="T720" s="20">
        <f>82150+550000</f>
        <v>632150</v>
      </c>
      <c r="U720" s="20"/>
      <c r="V720" s="20"/>
      <c r="W720" s="20"/>
      <c r="X720" s="20"/>
      <c r="Y720" s="118">
        <f t="shared" si="111"/>
        <v>0</v>
      </c>
      <c r="Z720" s="24">
        <f>1136331.6+29810.35+2524840.8+11723.42</f>
        <v>3702706.17</v>
      </c>
      <c r="AA720" s="118">
        <f t="shared" si="100"/>
        <v>4565143.83</v>
      </c>
      <c r="AB720" s="118"/>
      <c r="AC720" s="24"/>
      <c r="AD720" s="118">
        <f t="shared" si="105"/>
        <v>5197293.83</v>
      </c>
    </row>
    <row r="721" spans="1:30" ht="30.75">
      <c r="A721" s="185"/>
      <c r="B721" s="185"/>
      <c r="C721" s="184"/>
      <c r="D721" s="184"/>
      <c r="E721" s="30" t="s">
        <v>706</v>
      </c>
      <c r="F721" s="136">
        <v>2506</v>
      </c>
      <c r="G721" s="25" t="s">
        <v>201</v>
      </c>
      <c r="H721" s="24">
        <v>3271778</v>
      </c>
      <c r="I721" s="37">
        <v>37.2</v>
      </c>
      <c r="J721" s="58">
        <v>3132</v>
      </c>
      <c r="K721" s="24">
        <v>1832328.6</v>
      </c>
      <c r="L721" s="34">
        <v>100</v>
      </c>
      <c r="M721" s="20"/>
      <c r="N721" s="20"/>
      <c r="O721" s="20">
        <v>13476.43</v>
      </c>
      <c r="P721" s="20"/>
      <c r="Q721" s="20"/>
      <c r="R721" s="20"/>
      <c r="S721" s="20">
        <v>1818852.17</v>
      </c>
      <c r="T721" s="20"/>
      <c r="U721" s="20"/>
      <c r="V721" s="20"/>
      <c r="W721" s="20"/>
      <c r="X721" s="20"/>
      <c r="Y721" s="118">
        <f t="shared" si="111"/>
        <v>2.3283064365386963E-10</v>
      </c>
      <c r="Z721" s="24">
        <f>13476.43+435820.86+5511.76+996045.15</f>
        <v>1450854.2</v>
      </c>
      <c r="AA721" s="118">
        <f t="shared" si="100"/>
        <v>381474.3999999999</v>
      </c>
      <c r="AB721" s="118"/>
      <c r="AC721" s="24"/>
      <c r="AD721" s="118">
        <f t="shared" si="105"/>
        <v>381474.40000000014</v>
      </c>
    </row>
    <row r="722" spans="1:30" ht="30.75">
      <c r="A722" s="185"/>
      <c r="B722" s="185"/>
      <c r="C722" s="184"/>
      <c r="D722" s="184"/>
      <c r="E722" s="62" t="s">
        <v>627</v>
      </c>
      <c r="F722" s="136">
        <v>2507</v>
      </c>
      <c r="G722" s="25" t="s">
        <v>607</v>
      </c>
      <c r="H722" s="24">
        <v>167124161</v>
      </c>
      <c r="I722" s="37">
        <v>8.8</v>
      </c>
      <c r="J722" s="58">
        <v>3132</v>
      </c>
      <c r="K722" s="24">
        <f>30000000-4226093.36+5000000</f>
        <v>30773906.64</v>
      </c>
      <c r="L722" s="34">
        <v>26.7</v>
      </c>
      <c r="M722" s="20"/>
      <c r="N722" s="20"/>
      <c r="O722" s="20">
        <f>5100000-103155</f>
        <v>4996845</v>
      </c>
      <c r="P722" s="20">
        <f>15000000-9000+6000000-171971</f>
        <v>20819029</v>
      </c>
      <c r="Q722" s="20">
        <f>15773906.64-5100000+9000-6000000-700000-172000-1200000+798171+40000</f>
        <v>3449077.6400000006</v>
      </c>
      <c r="R722" s="20"/>
      <c r="S722" s="20">
        <f>700000+1200000-798171-40000</f>
        <v>1061829</v>
      </c>
      <c r="T722" s="20">
        <f>93800+171971+172000</f>
        <v>437771</v>
      </c>
      <c r="U722" s="20">
        <f>9355</f>
        <v>9355</v>
      </c>
      <c r="V722" s="20"/>
      <c r="W722" s="20"/>
      <c r="X722" s="20"/>
      <c r="Y722" s="118">
        <f t="shared" si="111"/>
        <v>0</v>
      </c>
      <c r="Z722" s="24">
        <f>4995872.38+14120877.63+42574.94+5415057.81+4650568.13+38867.72+1062754.42</f>
        <v>30326573.03</v>
      </c>
      <c r="AA722" s="118">
        <f t="shared" si="100"/>
        <v>207.60999999940395</v>
      </c>
      <c r="AB722" s="118"/>
      <c r="AC722" s="24"/>
      <c r="AD722" s="118">
        <f t="shared" si="105"/>
        <v>447333.6099999994</v>
      </c>
    </row>
    <row r="723" spans="1:30" ht="30.75">
      <c r="A723" s="185"/>
      <c r="B723" s="185"/>
      <c r="C723" s="184"/>
      <c r="D723" s="184"/>
      <c r="E723" s="30" t="s">
        <v>704</v>
      </c>
      <c r="F723" s="136">
        <v>2508</v>
      </c>
      <c r="G723" s="25">
        <v>2020</v>
      </c>
      <c r="H723" s="24">
        <v>900000</v>
      </c>
      <c r="I723" s="37">
        <v>0</v>
      </c>
      <c r="J723" s="58">
        <v>3132</v>
      </c>
      <c r="K723" s="24">
        <v>900000</v>
      </c>
      <c r="L723" s="34">
        <v>100</v>
      </c>
      <c r="M723" s="20"/>
      <c r="N723" s="20"/>
      <c r="O723" s="20"/>
      <c r="P723" s="20"/>
      <c r="Q723" s="20"/>
      <c r="R723" s="20"/>
      <c r="S723" s="20">
        <f>81900</f>
        <v>81900</v>
      </c>
      <c r="T723" s="20">
        <f>450000-81900</f>
        <v>368100</v>
      </c>
      <c r="U723" s="20">
        <v>447712.87</v>
      </c>
      <c r="V723" s="20">
        <v>2287.13</v>
      </c>
      <c r="W723" s="20"/>
      <c r="X723" s="20"/>
      <c r="Y723" s="118">
        <f t="shared" si="111"/>
        <v>4.547473508864641E-12</v>
      </c>
      <c r="Z723" s="24">
        <f>81861</f>
        <v>81861</v>
      </c>
      <c r="AA723" s="118">
        <f aca="true" t="shared" si="115" ref="AA723:AA786">M723+N723+O723+P723+Q723+R723+S723-Z723</f>
        <v>39</v>
      </c>
      <c r="AB723" s="118"/>
      <c r="AC723" s="24"/>
      <c r="AD723" s="118">
        <f t="shared" si="105"/>
        <v>818139</v>
      </c>
    </row>
    <row r="724" spans="1:30" ht="30.75">
      <c r="A724" s="185"/>
      <c r="B724" s="185"/>
      <c r="C724" s="184"/>
      <c r="D724" s="184"/>
      <c r="E724" s="62" t="s">
        <v>876</v>
      </c>
      <c r="F724" s="136">
        <v>2509</v>
      </c>
      <c r="G724" s="25" t="s">
        <v>607</v>
      </c>
      <c r="H724" s="24">
        <v>36771210</v>
      </c>
      <c r="I724" s="37">
        <v>54.1</v>
      </c>
      <c r="J724" s="58">
        <v>3132</v>
      </c>
      <c r="K724" s="24">
        <v>4415679.03</v>
      </c>
      <c r="L724" s="34">
        <v>66.1</v>
      </c>
      <c r="M724" s="20"/>
      <c r="N724" s="20">
        <v>305.74</v>
      </c>
      <c r="O724" s="20">
        <f>2000000-2000000</f>
        <v>0</v>
      </c>
      <c r="P724" s="20">
        <f>141586.35+9000</f>
        <v>150586.35</v>
      </c>
      <c r="Q724" s="20">
        <f>1299618.37-9000+700000+210000</f>
        <v>2200618.37</v>
      </c>
      <c r="R724" s="20"/>
      <c r="S724" s="20">
        <f>2173786.94+700381.63-700000-210000</f>
        <v>1964168.5699999998</v>
      </c>
      <c r="T724" s="20"/>
      <c r="U724" s="20"/>
      <c r="V724" s="20"/>
      <c r="W724" s="20">
        <f>2100000-2000000</f>
        <v>100000</v>
      </c>
      <c r="X724" s="20"/>
      <c r="Y724" s="118">
        <f t="shared" si="111"/>
        <v>4.656612873077393E-10</v>
      </c>
      <c r="Z724" s="24">
        <f>2140829.85+201487.57</f>
        <v>2342317.42</v>
      </c>
      <c r="AA724" s="118">
        <f t="shared" si="115"/>
        <v>1973361.6099999994</v>
      </c>
      <c r="AB724" s="118"/>
      <c r="AC724" s="24"/>
      <c r="AD724" s="118">
        <f t="shared" si="105"/>
        <v>2073361.6100000003</v>
      </c>
    </row>
    <row r="725" spans="1:30" ht="30.75">
      <c r="A725" s="185"/>
      <c r="B725" s="185"/>
      <c r="C725" s="184"/>
      <c r="D725" s="184"/>
      <c r="E725" s="62" t="s">
        <v>617</v>
      </c>
      <c r="F725" s="136">
        <v>2510</v>
      </c>
      <c r="G725" s="25" t="s">
        <v>207</v>
      </c>
      <c r="H725" s="24">
        <v>3326070</v>
      </c>
      <c r="I725" s="37">
        <v>0.8</v>
      </c>
      <c r="J725" s="58">
        <v>3142</v>
      </c>
      <c r="K725" s="24">
        <v>50000</v>
      </c>
      <c r="L725" s="34">
        <v>2.5</v>
      </c>
      <c r="M725" s="20"/>
      <c r="N725" s="20">
        <v>25908</v>
      </c>
      <c r="O725" s="20"/>
      <c r="P725" s="20"/>
      <c r="Q725" s="20"/>
      <c r="R725" s="20"/>
      <c r="S725" s="20">
        <v>24092</v>
      </c>
      <c r="T725" s="20"/>
      <c r="U725" s="20"/>
      <c r="V725" s="20"/>
      <c r="W725" s="20"/>
      <c r="X725" s="20"/>
      <c r="Y725" s="118">
        <f t="shared" si="111"/>
        <v>0</v>
      </c>
      <c r="Z725" s="24">
        <f>25908</f>
        <v>25908</v>
      </c>
      <c r="AA725" s="118">
        <f t="shared" si="115"/>
        <v>24092</v>
      </c>
      <c r="AB725" s="118"/>
      <c r="AC725" s="24"/>
      <c r="AD725" s="118">
        <f t="shared" si="105"/>
        <v>24092</v>
      </c>
    </row>
    <row r="726" spans="1:30" ht="30.75">
      <c r="A726" s="185"/>
      <c r="B726" s="185"/>
      <c r="C726" s="184"/>
      <c r="D726" s="184"/>
      <c r="E726" s="62" t="s">
        <v>618</v>
      </c>
      <c r="F726" s="136">
        <v>2511</v>
      </c>
      <c r="G726" s="25" t="s">
        <v>207</v>
      </c>
      <c r="H726" s="24">
        <v>1380250</v>
      </c>
      <c r="I726" s="37">
        <v>61.7</v>
      </c>
      <c r="J726" s="58">
        <v>3142</v>
      </c>
      <c r="K726" s="24">
        <v>28662</v>
      </c>
      <c r="L726" s="34">
        <v>63.7</v>
      </c>
      <c r="M726" s="20"/>
      <c r="N726" s="20">
        <v>8197.13</v>
      </c>
      <c r="O726" s="20"/>
      <c r="P726" s="20"/>
      <c r="Q726" s="20"/>
      <c r="R726" s="20"/>
      <c r="S726" s="20">
        <v>20464.87</v>
      </c>
      <c r="T726" s="20"/>
      <c r="U726" s="20"/>
      <c r="V726" s="20"/>
      <c r="W726" s="20"/>
      <c r="X726" s="20"/>
      <c r="Y726" s="118">
        <f t="shared" si="111"/>
        <v>3.637978807091713E-12</v>
      </c>
      <c r="Z726" s="24"/>
      <c r="AA726" s="118">
        <f t="shared" si="115"/>
        <v>28662</v>
      </c>
      <c r="AB726" s="118"/>
      <c r="AC726" s="24"/>
      <c r="AD726" s="118">
        <f t="shared" si="105"/>
        <v>28662</v>
      </c>
    </row>
    <row r="727" spans="1:30" ht="30.75">
      <c r="A727" s="185"/>
      <c r="B727" s="185"/>
      <c r="C727" s="184"/>
      <c r="D727" s="184"/>
      <c r="E727" s="26" t="s">
        <v>615</v>
      </c>
      <c r="F727" s="136">
        <v>2512</v>
      </c>
      <c r="G727" s="25" t="s">
        <v>201</v>
      </c>
      <c r="H727" s="24">
        <v>601014</v>
      </c>
      <c r="I727" s="37">
        <v>7.9</v>
      </c>
      <c r="J727" s="58">
        <v>3142</v>
      </c>
      <c r="K727" s="24">
        <v>587032</v>
      </c>
      <c r="L727" s="34">
        <v>100</v>
      </c>
      <c r="M727" s="20"/>
      <c r="N727" s="20">
        <v>33642</v>
      </c>
      <c r="O727" s="20"/>
      <c r="P727" s="20"/>
      <c r="Q727" s="20">
        <v>479478.21</v>
      </c>
      <c r="R727" s="20"/>
      <c r="S727" s="20">
        <v>73911.79</v>
      </c>
      <c r="T727" s="20"/>
      <c r="U727" s="20"/>
      <c r="V727" s="20"/>
      <c r="W727" s="20"/>
      <c r="X727" s="20"/>
      <c r="Y727" s="118">
        <f t="shared" si="111"/>
        <v>-1.4551915228366852E-11</v>
      </c>
      <c r="Z727" s="24">
        <f>33642+479478.21</f>
        <v>513120.21</v>
      </c>
      <c r="AA727" s="118">
        <f t="shared" si="115"/>
        <v>73911.78999999998</v>
      </c>
      <c r="AB727" s="118"/>
      <c r="AC727" s="24"/>
      <c r="AD727" s="118">
        <f t="shared" si="105"/>
        <v>73911.78999999998</v>
      </c>
    </row>
    <row r="728" spans="1:30" ht="30.75">
      <c r="A728" s="185"/>
      <c r="B728" s="185"/>
      <c r="C728" s="184"/>
      <c r="D728" s="184"/>
      <c r="E728" s="26" t="s">
        <v>616</v>
      </c>
      <c r="F728" s="136">
        <v>2513</v>
      </c>
      <c r="G728" s="25" t="s">
        <v>207</v>
      </c>
      <c r="H728" s="24">
        <v>100000</v>
      </c>
      <c r="I728" s="37">
        <v>0</v>
      </c>
      <c r="J728" s="58">
        <v>3142</v>
      </c>
      <c r="K728" s="24">
        <v>100000</v>
      </c>
      <c r="L728" s="34">
        <v>100</v>
      </c>
      <c r="M728" s="20"/>
      <c r="N728" s="20"/>
      <c r="O728" s="20"/>
      <c r="P728" s="20"/>
      <c r="Q728" s="20"/>
      <c r="R728" s="20"/>
      <c r="S728" s="20">
        <v>100000</v>
      </c>
      <c r="T728" s="20"/>
      <c r="U728" s="20"/>
      <c r="V728" s="20"/>
      <c r="W728" s="20"/>
      <c r="X728" s="20"/>
      <c r="Y728" s="118">
        <f t="shared" si="111"/>
        <v>0</v>
      </c>
      <c r="Z728" s="24"/>
      <c r="AA728" s="118">
        <f t="shared" si="115"/>
        <v>100000</v>
      </c>
      <c r="AB728" s="118"/>
      <c r="AC728" s="24"/>
      <c r="AD728" s="118">
        <f t="shared" si="105"/>
        <v>100000</v>
      </c>
    </row>
    <row r="729" spans="1:30" ht="30.75">
      <c r="A729" s="185"/>
      <c r="B729" s="185"/>
      <c r="C729" s="184"/>
      <c r="D729" s="184"/>
      <c r="E729" s="26" t="s">
        <v>843</v>
      </c>
      <c r="F729" s="136">
        <v>2604</v>
      </c>
      <c r="G729" s="25"/>
      <c r="H729" s="24"/>
      <c r="I729" s="37"/>
      <c r="J729" s="58">
        <v>3142</v>
      </c>
      <c r="K729" s="24">
        <v>500000</v>
      </c>
      <c r="L729" s="34"/>
      <c r="M729" s="20"/>
      <c r="N729" s="20"/>
      <c r="O729" s="20"/>
      <c r="P729" s="20"/>
      <c r="Q729" s="20"/>
      <c r="R729" s="20"/>
      <c r="S729" s="20"/>
      <c r="T729" s="20">
        <f>500000</f>
        <v>500000</v>
      </c>
      <c r="U729" s="20"/>
      <c r="V729" s="20"/>
      <c r="W729" s="20"/>
      <c r="X729" s="20"/>
      <c r="Y729" s="118">
        <f t="shared" si="111"/>
        <v>0</v>
      </c>
      <c r="Z729" s="24"/>
      <c r="AA729" s="118">
        <f t="shared" si="115"/>
        <v>0</v>
      </c>
      <c r="AB729" s="118"/>
      <c r="AC729" s="24"/>
      <c r="AD729" s="118">
        <f t="shared" si="105"/>
        <v>500000</v>
      </c>
    </row>
    <row r="730" spans="1:30" ht="30.75">
      <c r="A730" s="185"/>
      <c r="B730" s="185"/>
      <c r="C730" s="184"/>
      <c r="D730" s="184"/>
      <c r="E730" s="62" t="s">
        <v>639</v>
      </c>
      <c r="F730" s="136">
        <v>2514</v>
      </c>
      <c r="G730" s="25" t="s">
        <v>604</v>
      </c>
      <c r="H730" s="24">
        <v>16756284</v>
      </c>
      <c r="I730" s="37">
        <v>92.6</v>
      </c>
      <c r="J730" s="58">
        <v>3142</v>
      </c>
      <c r="K730" s="24">
        <v>1241860</v>
      </c>
      <c r="L730" s="34">
        <v>100</v>
      </c>
      <c r="M730" s="20"/>
      <c r="N730" s="20"/>
      <c r="O730" s="20"/>
      <c r="P730" s="20"/>
      <c r="Q730" s="20"/>
      <c r="R730" s="20"/>
      <c r="S730" s="20">
        <v>1241860</v>
      </c>
      <c r="T730" s="20"/>
      <c r="U730" s="20"/>
      <c r="V730" s="20"/>
      <c r="W730" s="20"/>
      <c r="X730" s="20"/>
      <c r="Y730" s="118">
        <f t="shared" si="111"/>
        <v>0</v>
      </c>
      <c r="Z730" s="24"/>
      <c r="AA730" s="118">
        <f t="shared" si="115"/>
        <v>1241860</v>
      </c>
      <c r="AB730" s="118"/>
      <c r="AC730" s="24"/>
      <c r="AD730" s="118">
        <f t="shared" si="105"/>
        <v>1241860</v>
      </c>
    </row>
    <row r="731" spans="1:30" ht="30.75">
      <c r="A731" s="185"/>
      <c r="B731" s="185"/>
      <c r="C731" s="184"/>
      <c r="D731" s="184"/>
      <c r="E731" s="62" t="s">
        <v>640</v>
      </c>
      <c r="F731" s="136">
        <v>2515</v>
      </c>
      <c r="G731" s="25" t="s">
        <v>605</v>
      </c>
      <c r="H731" s="24">
        <v>24330144</v>
      </c>
      <c r="I731" s="37">
        <v>78.5</v>
      </c>
      <c r="J731" s="58">
        <v>3142</v>
      </c>
      <c r="K731" s="24">
        <f>1439770-50000</f>
        <v>1389770</v>
      </c>
      <c r="L731" s="34">
        <v>84.4</v>
      </c>
      <c r="M731" s="20"/>
      <c r="N731" s="20"/>
      <c r="O731" s="20"/>
      <c r="P731" s="20"/>
      <c r="Q731" s="20"/>
      <c r="R731" s="20"/>
      <c r="S731" s="20">
        <f>1439770-50000</f>
        <v>1389770</v>
      </c>
      <c r="T731" s="20"/>
      <c r="U731" s="20"/>
      <c r="V731" s="20"/>
      <c r="W731" s="20"/>
      <c r="X731" s="20"/>
      <c r="Y731" s="118">
        <f t="shared" si="111"/>
        <v>0</v>
      </c>
      <c r="Z731" s="24">
        <f>172481.21</f>
        <v>172481.21</v>
      </c>
      <c r="AA731" s="118">
        <f t="shared" si="115"/>
        <v>1217288.79</v>
      </c>
      <c r="AB731" s="118"/>
      <c r="AC731" s="24"/>
      <c r="AD731" s="118">
        <f t="shared" si="105"/>
        <v>1217288.79</v>
      </c>
    </row>
    <row r="732" spans="1:30" ht="30.75">
      <c r="A732" s="185"/>
      <c r="B732" s="185"/>
      <c r="C732" s="184"/>
      <c r="D732" s="184"/>
      <c r="E732" s="62" t="s">
        <v>606</v>
      </c>
      <c r="F732" s="136">
        <v>2516</v>
      </c>
      <c r="G732" s="25" t="s">
        <v>607</v>
      </c>
      <c r="H732" s="24">
        <v>67879002</v>
      </c>
      <c r="I732" s="37">
        <v>66.5</v>
      </c>
      <c r="J732" s="58">
        <v>3142</v>
      </c>
      <c r="K732" s="24">
        <v>6015289.85</v>
      </c>
      <c r="L732" s="34">
        <v>75.4</v>
      </c>
      <c r="M732" s="20"/>
      <c r="N732" s="20">
        <v>5520</v>
      </c>
      <c r="O732" s="20"/>
      <c r="P732" s="20"/>
      <c r="Q732" s="20"/>
      <c r="R732" s="20"/>
      <c r="S732" s="20">
        <v>6009769.85</v>
      </c>
      <c r="T732" s="20"/>
      <c r="U732" s="20"/>
      <c r="V732" s="20"/>
      <c r="W732" s="20"/>
      <c r="X732" s="20"/>
      <c r="Y732" s="118">
        <f t="shared" si="111"/>
        <v>0</v>
      </c>
      <c r="Z732" s="24">
        <f>5520</f>
        <v>5520</v>
      </c>
      <c r="AA732" s="118">
        <f t="shared" si="115"/>
        <v>6009769.85</v>
      </c>
      <c r="AB732" s="118"/>
      <c r="AC732" s="24"/>
      <c r="AD732" s="118">
        <f t="shared" si="105"/>
        <v>6009769.85</v>
      </c>
    </row>
    <row r="733" spans="1:30" ht="30.75">
      <c r="A733" s="185"/>
      <c r="B733" s="185"/>
      <c r="C733" s="184"/>
      <c r="D733" s="184"/>
      <c r="E733" s="26" t="s">
        <v>593</v>
      </c>
      <c r="F733" s="136">
        <v>2517</v>
      </c>
      <c r="G733" s="25" t="s">
        <v>201</v>
      </c>
      <c r="H733" s="24">
        <v>945360</v>
      </c>
      <c r="I733" s="37">
        <v>69.7</v>
      </c>
      <c r="J733" s="58">
        <v>3142</v>
      </c>
      <c r="K733" s="24">
        <v>869890</v>
      </c>
      <c r="L733" s="34">
        <v>100</v>
      </c>
      <c r="M733" s="20"/>
      <c r="N733" s="20">
        <v>100000</v>
      </c>
      <c r="O733" s="20">
        <f>200000-212700</f>
        <v>-12700</v>
      </c>
      <c r="P733" s="20"/>
      <c r="Q733" s="20"/>
      <c r="R733" s="20">
        <f>200000</f>
        <v>200000</v>
      </c>
      <c r="S733" s="20">
        <f>569890+212700-200000</f>
        <v>582590</v>
      </c>
      <c r="T733" s="20"/>
      <c r="U733" s="20"/>
      <c r="V733" s="20"/>
      <c r="W733" s="20"/>
      <c r="X733" s="20"/>
      <c r="Y733" s="118">
        <f t="shared" si="111"/>
        <v>0</v>
      </c>
      <c r="Z733" s="24">
        <f>280000+278664</f>
        <v>558664</v>
      </c>
      <c r="AA733" s="118">
        <f t="shared" si="115"/>
        <v>311226</v>
      </c>
      <c r="AB733" s="118"/>
      <c r="AC733" s="24"/>
      <c r="AD733" s="118">
        <f t="shared" si="105"/>
        <v>311226</v>
      </c>
    </row>
    <row r="734" spans="1:30" ht="30.75">
      <c r="A734" s="185"/>
      <c r="B734" s="185"/>
      <c r="C734" s="184"/>
      <c r="D734" s="184"/>
      <c r="E734" s="62" t="s">
        <v>608</v>
      </c>
      <c r="F734" s="136">
        <v>2518</v>
      </c>
      <c r="G734" s="25" t="s">
        <v>604</v>
      </c>
      <c r="H734" s="24">
        <v>39292461</v>
      </c>
      <c r="I734" s="37">
        <v>49.1</v>
      </c>
      <c r="J734" s="58">
        <v>3142</v>
      </c>
      <c r="K734" s="24">
        <f>20000000-1000000</f>
        <v>19000000</v>
      </c>
      <c r="L734" s="34">
        <v>100</v>
      </c>
      <c r="M734" s="20"/>
      <c r="N734" s="20">
        <v>1603828.41</v>
      </c>
      <c r="O734" s="20">
        <f>4000000-4000000</f>
        <v>0</v>
      </c>
      <c r="P734" s="20">
        <f>6021106.63+192000</f>
        <v>6213106.63</v>
      </c>
      <c r="Q734" s="20">
        <f>4000000-192000</f>
        <v>3808000</v>
      </c>
      <c r="R734" s="20">
        <f>-200000+940000</f>
        <v>740000</v>
      </c>
      <c r="S734" s="20">
        <f>5100000+200000-940000</f>
        <v>4360000</v>
      </c>
      <c r="T734" s="20">
        <v>2000000</v>
      </c>
      <c r="U734" s="20"/>
      <c r="V734" s="20"/>
      <c r="W734" s="20">
        <f>4213464.96-4000000</f>
        <v>213464.95999999996</v>
      </c>
      <c r="X734" s="20">
        <v>61600</v>
      </c>
      <c r="Y734" s="118">
        <f t="shared" si="111"/>
        <v>9.313225746154785E-10</v>
      </c>
      <c r="Z734" s="24">
        <f>1601127.14+6022765.45+192403.44+3181569.78+5727000</f>
        <v>16724865.81</v>
      </c>
      <c r="AA734" s="118">
        <f t="shared" si="115"/>
        <v>69.22999999858439</v>
      </c>
      <c r="AB734" s="118"/>
      <c r="AC734" s="24"/>
      <c r="AD734" s="118">
        <f t="shared" si="105"/>
        <v>2275134.1899999995</v>
      </c>
    </row>
    <row r="735" spans="1:30" ht="30.75">
      <c r="A735" s="185"/>
      <c r="B735" s="185"/>
      <c r="C735" s="184"/>
      <c r="D735" s="184"/>
      <c r="E735" s="30" t="s">
        <v>594</v>
      </c>
      <c r="F735" s="136">
        <v>2519</v>
      </c>
      <c r="G735" s="25" t="s">
        <v>201</v>
      </c>
      <c r="H735" s="24">
        <v>1306865</v>
      </c>
      <c r="I735" s="37">
        <v>0</v>
      </c>
      <c r="J735" s="58">
        <v>3142</v>
      </c>
      <c r="K735" s="24">
        <v>1306865</v>
      </c>
      <c r="L735" s="34">
        <v>100</v>
      </c>
      <c r="M735" s="20"/>
      <c r="N735" s="20">
        <f>370335.7+45003.43</f>
        <v>415339.13</v>
      </c>
      <c r="O735" s="20">
        <f>360000</f>
        <v>360000</v>
      </c>
      <c r="P735" s="20">
        <f>403664.3-142050</f>
        <v>261614.3</v>
      </c>
      <c r="Q735" s="20">
        <f>119050</f>
        <v>119050</v>
      </c>
      <c r="R735" s="20">
        <f>-115500-265700</f>
        <v>-381200</v>
      </c>
      <c r="S735" s="20">
        <f>487861.57-360000+23000+115500+265700</f>
        <v>532061.5700000001</v>
      </c>
      <c r="T735" s="20"/>
      <c r="U735" s="20"/>
      <c r="V735" s="20"/>
      <c r="W735" s="20"/>
      <c r="X735" s="20"/>
      <c r="Y735" s="118">
        <f t="shared" si="111"/>
        <v>0</v>
      </c>
      <c r="Z735" s="24">
        <f>415300+359500</f>
        <v>774800</v>
      </c>
      <c r="AA735" s="118">
        <f t="shared" si="115"/>
        <v>532065</v>
      </c>
      <c r="AB735" s="118"/>
      <c r="AC735" s="24"/>
      <c r="AD735" s="118">
        <f t="shared" si="105"/>
        <v>532065</v>
      </c>
    </row>
    <row r="736" spans="1:30" ht="30.75" hidden="1">
      <c r="A736" s="185"/>
      <c r="B736" s="185"/>
      <c r="C736" s="184"/>
      <c r="D736" s="184"/>
      <c r="E736" s="26" t="s">
        <v>595</v>
      </c>
      <c r="F736" s="136">
        <v>2520</v>
      </c>
      <c r="G736" s="25" t="s">
        <v>586</v>
      </c>
      <c r="H736" s="24">
        <v>8821426</v>
      </c>
      <c r="I736" s="37">
        <v>76</v>
      </c>
      <c r="J736" s="58">
        <v>3142</v>
      </c>
      <c r="K736" s="24">
        <f>200000-200000</f>
        <v>0</v>
      </c>
      <c r="L736" s="34">
        <v>77</v>
      </c>
      <c r="M736" s="20"/>
      <c r="N736" s="20"/>
      <c r="O736" s="20"/>
      <c r="P736" s="20"/>
      <c r="Q736" s="20"/>
      <c r="R736" s="20"/>
      <c r="S736" s="20">
        <f>200000-200000</f>
        <v>0</v>
      </c>
      <c r="T736" s="20"/>
      <c r="U736" s="20"/>
      <c r="V736" s="20"/>
      <c r="W736" s="20"/>
      <c r="X736" s="20"/>
      <c r="Y736" s="118">
        <f t="shared" si="111"/>
        <v>0</v>
      </c>
      <c r="Z736" s="24"/>
      <c r="AA736" s="118">
        <f t="shared" si="115"/>
        <v>0</v>
      </c>
      <c r="AB736" s="118"/>
      <c r="AC736" s="24"/>
      <c r="AD736" s="118">
        <f aca="true" t="shared" si="116" ref="AD736:AD799">K736-Z736+AC736-AB736</f>
        <v>0</v>
      </c>
    </row>
    <row r="737" spans="1:30" ht="52.5" customHeight="1">
      <c r="A737" s="185"/>
      <c r="B737" s="185"/>
      <c r="C737" s="184"/>
      <c r="D737" s="184"/>
      <c r="E737" s="26" t="s">
        <v>877</v>
      </c>
      <c r="F737" s="136">
        <v>2521</v>
      </c>
      <c r="G737" s="25">
        <v>2020</v>
      </c>
      <c r="H737" s="24">
        <v>450000</v>
      </c>
      <c r="I737" s="37">
        <v>0</v>
      </c>
      <c r="J737" s="58">
        <v>3142</v>
      </c>
      <c r="K737" s="24">
        <v>450000</v>
      </c>
      <c r="L737" s="34">
        <v>100</v>
      </c>
      <c r="M737" s="20"/>
      <c r="N737" s="20"/>
      <c r="O737" s="20"/>
      <c r="P737" s="20"/>
      <c r="Q737" s="20"/>
      <c r="R737" s="20"/>
      <c r="S737" s="20">
        <v>70000</v>
      </c>
      <c r="T737" s="20"/>
      <c r="U737" s="20"/>
      <c r="V737" s="20"/>
      <c r="W737" s="20">
        <f>450000-70000</f>
        <v>380000</v>
      </c>
      <c r="X737" s="20"/>
      <c r="Y737" s="118">
        <f t="shared" si="111"/>
        <v>0</v>
      </c>
      <c r="Z737" s="24">
        <f>68945.55</f>
        <v>68945.55</v>
      </c>
      <c r="AA737" s="118">
        <f t="shared" si="115"/>
        <v>1054.449999999997</v>
      </c>
      <c r="AB737" s="118"/>
      <c r="AC737" s="24"/>
      <c r="AD737" s="118">
        <f t="shared" si="116"/>
        <v>381054.45</v>
      </c>
    </row>
    <row r="738" spans="1:30" ht="30.75">
      <c r="A738" s="185"/>
      <c r="B738" s="185"/>
      <c r="C738" s="184"/>
      <c r="D738" s="184"/>
      <c r="E738" s="26" t="s">
        <v>596</v>
      </c>
      <c r="F738" s="136">
        <v>2522</v>
      </c>
      <c r="G738" s="25" t="s">
        <v>197</v>
      </c>
      <c r="H738" s="24">
        <v>1046258</v>
      </c>
      <c r="I738" s="37">
        <v>6.9</v>
      </c>
      <c r="J738" s="58">
        <v>3142</v>
      </c>
      <c r="K738" s="24">
        <v>1047000</v>
      </c>
      <c r="L738" s="34">
        <v>100</v>
      </c>
      <c r="M738" s="20"/>
      <c r="N738" s="20">
        <v>71900</v>
      </c>
      <c r="O738" s="20"/>
      <c r="P738" s="20"/>
      <c r="Q738" s="20"/>
      <c r="R738" s="20"/>
      <c r="S738" s="20">
        <v>975100</v>
      </c>
      <c r="T738" s="20"/>
      <c r="U738" s="20"/>
      <c r="V738" s="20"/>
      <c r="W738" s="20"/>
      <c r="X738" s="20"/>
      <c r="Y738" s="118">
        <f t="shared" si="111"/>
        <v>0</v>
      </c>
      <c r="Z738" s="24">
        <f>71900</f>
        <v>71900</v>
      </c>
      <c r="AA738" s="118">
        <f t="shared" si="115"/>
        <v>975100</v>
      </c>
      <c r="AB738" s="118"/>
      <c r="AC738" s="24"/>
      <c r="AD738" s="118">
        <f t="shared" si="116"/>
        <v>975100</v>
      </c>
    </row>
    <row r="739" spans="1:30" ht="30.75">
      <c r="A739" s="185"/>
      <c r="B739" s="185"/>
      <c r="C739" s="184"/>
      <c r="D739" s="184"/>
      <c r="E739" s="62" t="s">
        <v>707</v>
      </c>
      <c r="F739" s="136">
        <v>2523</v>
      </c>
      <c r="G739" s="25" t="s">
        <v>602</v>
      </c>
      <c r="H739" s="24">
        <v>28030038</v>
      </c>
      <c r="I739" s="37">
        <v>0.9</v>
      </c>
      <c r="J739" s="58">
        <v>3142</v>
      </c>
      <c r="K739" s="24">
        <f>6625000-5000000+7000000-1000000</f>
        <v>7625000</v>
      </c>
      <c r="L739" s="34">
        <v>30.1</v>
      </c>
      <c r="M739" s="20"/>
      <c r="N739" s="20"/>
      <c r="O739" s="20">
        <f>500000+23000</f>
        <v>523000</v>
      </c>
      <c r="P739" s="20"/>
      <c r="Q739" s="20"/>
      <c r="R739" s="20"/>
      <c r="S739" s="20">
        <f>4000000-23000-1000000-70000</f>
        <v>2907000</v>
      </c>
      <c r="T739" s="20">
        <v>4125000</v>
      </c>
      <c r="U739" s="20"/>
      <c r="V739" s="20"/>
      <c r="W739" s="20">
        <f>70000</f>
        <v>70000</v>
      </c>
      <c r="X739" s="20"/>
      <c r="Y739" s="118">
        <f t="shared" si="111"/>
        <v>0</v>
      </c>
      <c r="Z739" s="24">
        <f>514873.6</f>
        <v>514873.6</v>
      </c>
      <c r="AA739" s="118">
        <f t="shared" si="115"/>
        <v>2915126.4</v>
      </c>
      <c r="AB739" s="118"/>
      <c r="AC739" s="24"/>
      <c r="AD739" s="118">
        <f t="shared" si="116"/>
        <v>7110126.4</v>
      </c>
    </row>
    <row r="740" spans="1:30" ht="30.75">
      <c r="A740" s="185"/>
      <c r="B740" s="185"/>
      <c r="C740" s="184"/>
      <c r="D740" s="184"/>
      <c r="E740" s="62" t="s">
        <v>609</v>
      </c>
      <c r="F740" s="136">
        <v>2524</v>
      </c>
      <c r="G740" s="25" t="s">
        <v>598</v>
      </c>
      <c r="H740" s="24">
        <v>1353401.44</v>
      </c>
      <c r="I740" s="37">
        <v>51.7</v>
      </c>
      <c r="J740" s="58">
        <v>3142</v>
      </c>
      <c r="K740" s="24">
        <v>653455</v>
      </c>
      <c r="L740" s="34">
        <v>100</v>
      </c>
      <c r="M740" s="20"/>
      <c r="N740" s="20">
        <v>400452.04</v>
      </c>
      <c r="O740" s="20">
        <v>3455</v>
      </c>
      <c r="P740" s="20"/>
      <c r="Q740" s="20">
        <v>249547.96</v>
      </c>
      <c r="R740" s="20"/>
      <c r="S740" s="20"/>
      <c r="T740" s="20"/>
      <c r="U740" s="20"/>
      <c r="V740" s="20"/>
      <c r="W740" s="20"/>
      <c r="X740" s="20"/>
      <c r="Y740" s="118">
        <f t="shared" si="111"/>
        <v>2.9103830456733704E-11</v>
      </c>
      <c r="Z740" s="24">
        <f>400450+252951.44</f>
        <v>653401.44</v>
      </c>
      <c r="AA740" s="118">
        <f t="shared" si="115"/>
        <v>53.56000000005588</v>
      </c>
      <c r="AB740" s="118"/>
      <c r="AC740" s="24"/>
      <c r="AD740" s="118">
        <f t="shared" si="116"/>
        <v>53.56000000005588</v>
      </c>
    </row>
    <row r="741" spans="1:30" ht="21">
      <c r="A741" s="185"/>
      <c r="B741" s="185"/>
      <c r="C741" s="184"/>
      <c r="D741" s="184"/>
      <c r="E741" s="62" t="s">
        <v>610</v>
      </c>
      <c r="F741" s="136">
        <v>2525</v>
      </c>
      <c r="G741" s="25" t="s">
        <v>602</v>
      </c>
      <c r="H741" s="24">
        <v>60111755</v>
      </c>
      <c r="I741" s="37">
        <v>86.8</v>
      </c>
      <c r="J741" s="58">
        <v>3142</v>
      </c>
      <c r="K741" s="24">
        <v>120000</v>
      </c>
      <c r="L741" s="34">
        <v>87</v>
      </c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>
        <v>120000</v>
      </c>
      <c r="X741" s="20"/>
      <c r="Y741" s="118">
        <f t="shared" si="111"/>
        <v>0</v>
      </c>
      <c r="Z741" s="24"/>
      <c r="AA741" s="118">
        <f t="shared" si="115"/>
        <v>0</v>
      </c>
      <c r="AB741" s="118"/>
      <c r="AC741" s="24"/>
      <c r="AD741" s="118">
        <f t="shared" si="116"/>
        <v>120000</v>
      </c>
    </row>
    <row r="742" spans="1:30" ht="30.75">
      <c r="A742" s="185"/>
      <c r="B742" s="185"/>
      <c r="C742" s="184"/>
      <c r="D742" s="184"/>
      <c r="E742" s="30" t="s">
        <v>733</v>
      </c>
      <c r="F742" s="136">
        <v>2526</v>
      </c>
      <c r="G742" s="25" t="s">
        <v>197</v>
      </c>
      <c r="H742" s="24">
        <v>1098615</v>
      </c>
      <c r="I742" s="37">
        <v>5.7</v>
      </c>
      <c r="J742" s="58">
        <v>3142</v>
      </c>
      <c r="K742" s="24">
        <v>1098615</v>
      </c>
      <c r="L742" s="34">
        <v>100</v>
      </c>
      <c r="M742" s="20"/>
      <c r="N742" s="20">
        <v>400000</v>
      </c>
      <c r="O742" s="20">
        <f>212700</f>
        <v>212700</v>
      </c>
      <c r="P742" s="20"/>
      <c r="Q742" s="20"/>
      <c r="R742" s="20"/>
      <c r="S742" s="20">
        <f>698615-212700</f>
        <v>485915</v>
      </c>
      <c r="T742" s="20"/>
      <c r="U742" s="20"/>
      <c r="V742" s="20"/>
      <c r="W742" s="20"/>
      <c r="X742" s="20"/>
      <c r="Y742" s="118">
        <f t="shared" si="111"/>
        <v>0</v>
      </c>
      <c r="Z742" s="24">
        <f>612700</f>
        <v>612700</v>
      </c>
      <c r="AA742" s="118">
        <f t="shared" si="115"/>
        <v>485915</v>
      </c>
      <c r="AB742" s="118"/>
      <c r="AC742" s="24"/>
      <c r="AD742" s="118">
        <f t="shared" si="116"/>
        <v>485915</v>
      </c>
    </row>
    <row r="743" spans="1:30" ht="30.75">
      <c r="A743" s="185"/>
      <c r="B743" s="185"/>
      <c r="C743" s="184"/>
      <c r="D743" s="184"/>
      <c r="E743" s="26" t="s">
        <v>597</v>
      </c>
      <c r="F743" s="136">
        <v>2527</v>
      </c>
      <c r="G743" s="25" t="s">
        <v>598</v>
      </c>
      <c r="H743" s="24">
        <v>59334667</v>
      </c>
      <c r="I743" s="37">
        <v>16.7</v>
      </c>
      <c r="J743" s="58">
        <v>3142</v>
      </c>
      <c r="K743" s="24">
        <f>20000000-1000000</f>
        <v>19000000</v>
      </c>
      <c r="L743" s="34">
        <v>50.4</v>
      </c>
      <c r="M743" s="20"/>
      <c r="N743" s="20">
        <v>1654590</v>
      </c>
      <c r="O743" s="20">
        <f>2000000-360000</f>
        <v>1640000</v>
      </c>
      <c r="P743" s="20">
        <f>2560854.4-192000+115000+4050</f>
        <v>2487904.4</v>
      </c>
      <c r="Q743" s="20">
        <f>192000-115000-4050+1200000</f>
        <v>1272950</v>
      </c>
      <c r="R743" s="20">
        <f>1117120</f>
        <v>1117120</v>
      </c>
      <c r="S743" s="20">
        <f>4000000+360000-1200000-1117120</f>
        <v>2042880</v>
      </c>
      <c r="T743" s="20"/>
      <c r="U743" s="20">
        <v>4000000</v>
      </c>
      <c r="V743" s="20">
        <v>3784555.6</v>
      </c>
      <c r="W743" s="20">
        <f>3000000-2000000</f>
        <v>1000000</v>
      </c>
      <c r="X743" s="20"/>
      <c r="Y743" s="118">
        <f t="shared" si="111"/>
        <v>-4.656612873077393E-10</v>
      </c>
      <c r="Z743" s="24">
        <f>1654590+1400118+1512394.6+1210103.19+1202411.99+1117556.37+313899.6</f>
        <v>8411073.75</v>
      </c>
      <c r="AA743" s="118">
        <f t="shared" si="115"/>
        <v>1804370.6500000004</v>
      </c>
      <c r="AB743" s="118"/>
      <c r="AC743" s="24"/>
      <c r="AD743" s="118">
        <f t="shared" si="116"/>
        <v>10588926.25</v>
      </c>
    </row>
    <row r="744" spans="1:30" ht="30.75">
      <c r="A744" s="185"/>
      <c r="B744" s="185"/>
      <c r="C744" s="184"/>
      <c r="D744" s="184"/>
      <c r="E744" s="26" t="s">
        <v>875</v>
      </c>
      <c r="F744" s="136">
        <v>2528</v>
      </c>
      <c r="G744" s="25" t="s">
        <v>207</v>
      </c>
      <c r="H744" s="24">
        <v>12530000</v>
      </c>
      <c r="I744" s="37">
        <v>3.4</v>
      </c>
      <c r="J744" s="58">
        <v>3142</v>
      </c>
      <c r="K744" s="24">
        <v>1202852</v>
      </c>
      <c r="L744" s="34">
        <v>13</v>
      </c>
      <c r="M744" s="20"/>
      <c r="N744" s="20">
        <v>410945</v>
      </c>
      <c r="O744" s="20"/>
      <c r="P744" s="20"/>
      <c r="Q744" s="20"/>
      <c r="R744" s="20">
        <f>115500</f>
        <v>115500</v>
      </c>
      <c r="S744" s="20">
        <f>791907-115500</f>
        <v>676407</v>
      </c>
      <c r="T744" s="20"/>
      <c r="U744" s="20"/>
      <c r="V744" s="20"/>
      <c r="W744" s="20"/>
      <c r="X744" s="20"/>
      <c r="Y744" s="118">
        <f t="shared" si="111"/>
        <v>0</v>
      </c>
      <c r="Z744" s="24">
        <f>410945+115483</f>
        <v>526428</v>
      </c>
      <c r="AA744" s="118">
        <f t="shared" si="115"/>
        <v>676424</v>
      </c>
      <c r="AB744" s="118"/>
      <c r="AC744" s="24">
        <f>-90435-370000</f>
        <v>-460435</v>
      </c>
      <c r="AD744" s="118">
        <f t="shared" si="116"/>
        <v>215989</v>
      </c>
    </row>
    <row r="745" spans="1:30" ht="46.5">
      <c r="A745" s="185"/>
      <c r="B745" s="185"/>
      <c r="C745" s="184"/>
      <c r="D745" s="184"/>
      <c r="E745" s="62" t="s">
        <v>611</v>
      </c>
      <c r="F745" s="136">
        <v>2529</v>
      </c>
      <c r="G745" s="25" t="s">
        <v>612</v>
      </c>
      <c r="H745" s="24">
        <v>8605332</v>
      </c>
      <c r="I745" s="37">
        <v>87.2</v>
      </c>
      <c r="J745" s="58">
        <v>3142</v>
      </c>
      <c r="K745" s="24">
        <v>188517.54</v>
      </c>
      <c r="L745" s="34">
        <v>88.9</v>
      </c>
      <c r="M745" s="20"/>
      <c r="N745" s="20">
        <v>188517.54</v>
      </c>
      <c r="O745" s="20"/>
      <c r="P745" s="20">
        <v>-38515</v>
      </c>
      <c r="Q745" s="20"/>
      <c r="R745" s="20"/>
      <c r="S745" s="20"/>
      <c r="T745" s="20">
        <v>23296</v>
      </c>
      <c r="U745" s="20">
        <v>15219</v>
      </c>
      <c r="V745" s="20"/>
      <c r="W745" s="20"/>
      <c r="X745" s="20"/>
      <c r="Y745" s="118">
        <f t="shared" si="111"/>
        <v>0</v>
      </c>
      <c r="Z745" s="24">
        <f>188517.54-38515</f>
        <v>150002.54</v>
      </c>
      <c r="AA745" s="118">
        <f t="shared" si="115"/>
        <v>0</v>
      </c>
      <c r="AB745" s="118"/>
      <c r="AC745" s="24"/>
      <c r="AD745" s="118">
        <f t="shared" si="116"/>
        <v>38515</v>
      </c>
    </row>
    <row r="746" spans="1:30" ht="46.5">
      <c r="A746" s="185"/>
      <c r="B746" s="185"/>
      <c r="C746" s="184"/>
      <c r="D746" s="184"/>
      <c r="E746" s="62" t="s">
        <v>613</v>
      </c>
      <c r="F746" s="136">
        <v>2530</v>
      </c>
      <c r="G746" s="25" t="s">
        <v>612</v>
      </c>
      <c r="H746" s="24">
        <v>25513226</v>
      </c>
      <c r="I746" s="37">
        <v>87</v>
      </c>
      <c r="J746" s="58">
        <v>3142</v>
      </c>
      <c r="K746" s="24">
        <v>1334316.4</v>
      </c>
      <c r="L746" s="34">
        <v>87.6</v>
      </c>
      <c r="M746" s="20"/>
      <c r="N746" s="20">
        <v>1334316.4</v>
      </c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118">
        <f t="shared" si="111"/>
        <v>0</v>
      </c>
      <c r="Z746" s="24">
        <v>1334316.4</v>
      </c>
      <c r="AA746" s="118">
        <f t="shared" si="115"/>
        <v>0</v>
      </c>
      <c r="AB746" s="118"/>
      <c r="AC746" s="24"/>
      <c r="AD746" s="118">
        <f t="shared" si="116"/>
        <v>0</v>
      </c>
    </row>
    <row r="747" spans="1:30" ht="48" customHeight="1">
      <c r="A747" s="185"/>
      <c r="B747" s="185"/>
      <c r="C747" s="184"/>
      <c r="D747" s="184"/>
      <c r="E747" s="62" t="s">
        <v>614</v>
      </c>
      <c r="F747" s="136">
        <v>2531</v>
      </c>
      <c r="G747" s="25" t="s">
        <v>612</v>
      </c>
      <c r="H747" s="24">
        <v>8093029</v>
      </c>
      <c r="I747" s="37">
        <v>93.2</v>
      </c>
      <c r="J747" s="58">
        <v>3142</v>
      </c>
      <c r="K747" s="24">
        <v>119695.6</v>
      </c>
      <c r="L747" s="34">
        <v>94.6</v>
      </c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>
        <v>119695.6</v>
      </c>
      <c r="Y747" s="118">
        <f t="shared" si="111"/>
        <v>0</v>
      </c>
      <c r="Z747" s="24"/>
      <c r="AA747" s="118">
        <f t="shared" si="115"/>
        <v>0</v>
      </c>
      <c r="AB747" s="118"/>
      <c r="AC747" s="24"/>
      <c r="AD747" s="118">
        <f t="shared" si="116"/>
        <v>119695.6</v>
      </c>
    </row>
    <row r="748" spans="1:30" ht="46.5">
      <c r="A748" s="185"/>
      <c r="B748" s="185"/>
      <c r="C748" s="184"/>
      <c r="D748" s="184"/>
      <c r="E748" s="26" t="s">
        <v>599</v>
      </c>
      <c r="F748" s="136">
        <v>2532</v>
      </c>
      <c r="G748" s="25" t="s">
        <v>600</v>
      </c>
      <c r="H748" s="24">
        <v>23454305</v>
      </c>
      <c r="I748" s="37">
        <v>70.4</v>
      </c>
      <c r="J748" s="58">
        <v>3142</v>
      </c>
      <c r="K748" s="24">
        <v>4018084.68</v>
      </c>
      <c r="L748" s="34">
        <v>87.5</v>
      </c>
      <c r="M748" s="20"/>
      <c r="N748" s="20">
        <v>23838.87</v>
      </c>
      <c r="O748" s="20"/>
      <c r="P748" s="20"/>
      <c r="Q748" s="20"/>
      <c r="R748" s="20"/>
      <c r="S748" s="20">
        <v>3994245.81</v>
      </c>
      <c r="T748" s="20"/>
      <c r="U748" s="20"/>
      <c r="V748" s="20"/>
      <c r="W748" s="20"/>
      <c r="X748" s="20"/>
      <c r="Y748" s="118">
        <f t="shared" si="111"/>
        <v>0</v>
      </c>
      <c r="Z748" s="24">
        <f>23838.87</f>
        <v>23838.87</v>
      </c>
      <c r="AA748" s="118">
        <f t="shared" si="115"/>
        <v>3994245.81</v>
      </c>
      <c r="AB748" s="118"/>
      <c r="AC748" s="24"/>
      <c r="AD748" s="118">
        <f t="shared" si="116"/>
        <v>3994245.81</v>
      </c>
    </row>
    <row r="749" spans="1:30" ht="46.5">
      <c r="A749" s="185"/>
      <c r="B749" s="185"/>
      <c r="C749" s="184"/>
      <c r="D749" s="184"/>
      <c r="E749" s="62" t="s">
        <v>601</v>
      </c>
      <c r="F749" s="136">
        <v>2533</v>
      </c>
      <c r="G749" s="25" t="s">
        <v>602</v>
      </c>
      <c r="H749" s="24">
        <v>30386530</v>
      </c>
      <c r="I749" s="37">
        <v>51.9</v>
      </c>
      <c r="J749" s="58">
        <v>3142</v>
      </c>
      <c r="K749" s="24">
        <v>6572376.13</v>
      </c>
      <c r="L749" s="34">
        <v>73.5</v>
      </c>
      <c r="M749" s="20"/>
      <c r="N749" s="20">
        <v>84474.27</v>
      </c>
      <c r="O749" s="20">
        <v>-23000</v>
      </c>
      <c r="P749" s="20">
        <f>6440000-115000-4050+142050-6000000</f>
        <v>463000</v>
      </c>
      <c r="Q749" s="20">
        <f>115000+4050-119050+6000000</f>
        <v>6000000</v>
      </c>
      <c r="R749" s="20"/>
      <c r="S749" s="20">
        <f>47901.86+23000-23000</f>
        <v>47901.86</v>
      </c>
      <c r="T749" s="20"/>
      <c r="U749" s="20"/>
      <c r="V749" s="20"/>
      <c r="W749" s="20"/>
      <c r="X749" s="20"/>
      <c r="Y749" s="118">
        <f t="shared" si="111"/>
        <v>3.346940502524376E-10</v>
      </c>
      <c r="Z749" s="24">
        <v>6524474.27</v>
      </c>
      <c r="AA749" s="118">
        <f t="shared" si="115"/>
        <v>47901.860000000335</v>
      </c>
      <c r="AB749" s="118"/>
      <c r="AC749" s="24"/>
      <c r="AD749" s="118">
        <f t="shared" si="116"/>
        <v>47901.860000000335</v>
      </c>
    </row>
    <row r="750" spans="1:30" ht="46.5">
      <c r="A750" s="185"/>
      <c r="B750" s="185"/>
      <c r="C750" s="184"/>
      <c r="D750" s="184"/>
      <c r="E750" s="62" t="s">
        <v>603</v>
      </c>
      <c r="F750" s="136">
        <v>2534</v>
      </c>
      <c r="G750" s="25" t="s">
        <v>602</v>
      </c>
      <c r="H750" s="24">
        <v>35599490</v>
      </c>
      <c r="I750" s="37">
        <v>74.7</v>
      </c>
      <c r="J750" s="58">
        <v>3142</v>
      </c>
      <c r="K750" s="24">
        <v>6777200</v>
      </c>
      <c r="L750" s="34">
        <v>93.7</v>
      </c>
      <c r="M750" s="20"/>
      <c r="N750" s="20"/>
      <c r="O750" s="20">
        <v>25745</v>
      </c>
      <c r="P750" s="20"/>
      <c r="Q750" s="20"/>
      <c r="R750" s="20"/>
      <c r="S750" s="20">
        <f>6751455-4500000-1221925</f>
        <v>1029530</v>
      </c>
      <c r="T750" s="20">
        <f>2300000+684249</f>
        <v>2984249</v>
      </c>
      <c r="U750" s="20">
        <f>2200000</f>
        <v>2200000</v>
      </c>
      <c r="V750" s="20">
        <f>537676</f>
        <v>537676</v>
      </c>
      <c r="W750" s="20"/>
      <c r="X750" s="20"/>
      <c r="Y750" s="118">
        <f t="shared" si="111"/>
        <v>0</v>
      </c>
      <c r="Z750" s="24"/>
      <c r="AA750" s="118">
        <f t="shared" si="115"/>
        <v>1055275</v>
      </c>
      <c r="AB750" s="118"/>
      <c r="AC750" s="24"/>
      <c r="AD750" s="118">
        <f t="shared" si="116"/>
        <v>6777200</v>
      </c>
    </row>
    <row r="751" spans="1:30" ht="21">
      <c r="A751" s="185"/>
      <c r="B751" s="185"/>
      <c r="C751" s="184"/>
      <c r="D751" s="184"/>
      <c r="E751" s="102" t="s">
        <v>629</v>
      </c>
      <c r="F751" s="136">
        <v>2535</v>
      </c>
      <c r="G751" s="25" t="s">
        <v>602</v>
      </c>
      <c r="H751" s="24">
        <v>57094847</v>
      </c>
      <c r="I751" s="37">
        <v>2.5</v>
      </c>
      <c r="J751" s="58">
        <v>3122</v>
      </c>
      <c r="K751" s="24">
        <f>3000000-1000000</f>
        <v>2000000</v>
      </c>
      <c r="L751" s="34">
        <v>7.7</v>
      </c>
      <c r="M751" s="20"/>
      <c r="N751" s="20"/>
      <c r="O751" s="20"/>
      <c r="P751" s="20"/>
      <c r="Q751" s="20"/>
      <c r="R751" s="20"/>
      <c r="S751" s="20">
        <f>1000000-1000000</f>
        <v>0</v>
      </c>
      <c r="T751" s="20"/>
      <c r="U751" s="20"/>
      <c r="V751" s="20">
        <v>2000000</v>
      </c>
      <c r="W751" s="20"/>
      <c r="X751" s="20"/>
      <c r="Y751" s="118">
        <f t="shared" si="111"/>
        <v>0</v>
      </c>
      <c r="Z751" s="24"/>
      <c r="AA751" s="118">
        <f t="shared" si="115"/>
        <v>0</v>
      </c>
      <c r="AB751" s="118"/>
      <c r="AC751" s="24"/>
      <c r="AD751" s="118">
        <f t="shared" si="116"/>
        <v>2000000</v>
      </c>
    </row>
    <row r="752" spans="1:30" ht="30.75">
      <c r="A752" s="185"/>
      <c r="B752" s="185"/>
      <c r="C752" s="184"/>
      <c r="D752" s="184"/>
      <c r="E752" s="28" t="s">
        <v>628</v>
      </c>
      <c r="F752" s="136">
        <v>2536</v>
      </c>
      <c r="G752" s="25" t="s">
        <v>207</v>
      </c>
      <c r="H752" s="24">
        <v>1000000</v>
      </c>
      <c r="I752" s="37">
        <v>0</v>
      </c>
      <c r="J752" s="58">
        <v>3122</v>
      </c>
      <c r="K752" s="24">
        <v>453107</v>
      </c>
      <c r="L752" s="34">
        <v>45.3</v>
      </c>
      <c r="M752" s="20"/>
      <c r="N752" s="20">
        <v>163584</v>
      </c>
      <c r="O752" s="20"/>
      <c r="P752" s="20"/>
      <c r="Q752" s="20"/>
      <c r="R752" s="20"/>
      <c r="S752" s="20">
        <v>289523</v>
      </c>
      <c r="T752" s="20"/>
      <c r="U752" s="20"/>
      <c r="V752" s="20"/>
      <c r="W752" s="20"/>
      <c r="X752" s="20"/>
      <c r="Y752" s="118">
        <f t="shared" si="111"/>
        <v>0</v>
      </c>
      <c r="Z752" s="24">
        <f>163584</f>
        <v>163584</v>
      </c>
      <c r="AA752" s="118">
        <f t="shared" si="115"/>
        <v>289523</v>
      </c>
      <c r="AB752" s="118"/>
      <c r="AC752" s="24"/>
      <c r="AD752" s="118">
        <f t="shared" si="116"/>
        <v>289523</v>
      </c>
    </row>
    <row r="753" spans="1:30" ht="21">
      <c r="A753" s="185" t="s">
        <v>148</v>
      </c>
      <c r="B753" s="185" t="s">
        <v>149</v>
      </c>
      <c r="C753" s="185" t="s">
        <v>76</v>
      </c>
      <c r="D753" s="199" t="s">
        <v>150</v>
      </c>
      <c r="E753" s="19"/>
      <c r="F753" s="96"/>
      <c r="G753" s="20"/>
      <c r="H753" s="21"/>
      <c r="I753" s="33"/>
      <c r="J753" s="58"/>
      <c r="K753" s="23">
        <f>K754</f>
        <v>50000</v>
      </c>
      <c r="L753" s="23">
        <f aca="true" t="shared" si="117" ref="L753:Z753">L754</f>
        <v>0</v>
      </c>
      <c r="M753" s="23">
        <f t="shared" si="117"/>
        <v>0</v>
      </c>
      <c r="N753" s="23">
        <f t="shared" si="117"/>
        <v>0</v>
      </c>
      <c r="O753" s="23">
        <f t="shared" si="117"/>
        <v>5000</v>
      </c>
      <c r="P753" s="23">
        <f t="shared" si="117"/>
        <v>5000</v>
      </c>
      <c r="Q753" s="23">
        <f t="shared" si="117"/>
        <v>5000</v>
      </c>
      <c r="R753" s="23">
        <f t="shared" si="117"/>
        <v>5000</v>
      </c>
      <c r="S753" s="23">
        <f t="shared" si="117"/>
        <v>5000</v>
      </c>
      <c r="T753" s="23">
        <f t="shared" si="117"/>
        <v>5000</v>
      </c>
      <c r="U753" s="23">
        <f t="shared" si="117"/>
        <v>5000</v>
      </c>
      <c r="V753" s="23">
        <f t="shared" si="117"/>
        <v>5000</v>
      </c>
      <c r="W753" s="23">
        <f t="shared" si="117"/>
        <v>5000</v>
      </c>
      <c r="X753" s="23">
        <f t="shared" si="117"/>
        <v>5000</v>
      </c>
      <c r="Y753" s="118">
        <f t="shared" si="111"/>
        <v>0</v>
      </c>
      <c r="Z753" s="23">
        <f t="shared" si="117"/>
        <v>9000</v>
      </c>
      <c r="AA753" s="118">
        <f t="shared" si="115"/>
        <v>16000</v>
      </c>
      <c r="AB753" s="118"/>
      <c r="AC753" s="24"/>
      <c r="AD753" s="118">
        <f t="shared" si="116"/>
        <v>41000</v>
      </c>
    </row>
    <row r="754" spans="1:30" ht="46.5">
      <c r="A754" s="185"/>
      <c r="B754" s="185"/>
      <c r="C754" s="185"/>
      <c r="D754" s="199"/>
      <c r="E754" s="30" t="s">
        <v>920</v>
      </c>
      <c r="F754" s="97">
        <v>2537</v>
      </c>
      <c r="G754" s="25"/>
      <c r="H754" s="24"/>
      <c r="I754" s="36"/>
      <c r="J754" s="58">
        <v>2281</v>
      </c>
      <c r="K754" s="24">
        <v>50000</v>
      </c>
      <c r="L754" s="34"/>
      <c r="M754" s="20"/>
      <c r="N754" s="20"/>
      <c r="O754" s="20">
        <v>5000</v>
      </c>
      <c r="P754" s="20">
        <v>5000</v>
      </c>
      <c r="Q754" s="20">
        <v>5000</v>
      </c>
      <c r="R754" s="20">
        <v>5000</v>
      </c>
      <c r="S754" s="20">
        <v>5000</v>
      </c>
      <c r="T754" s="20">
        <v>5000</v>
      </c>
      <c r="U754" s="20">
        <v>5000</v>
      </c>
      <c r="V754" s="20">
        <v>5000</v>
      </c>
      <c r="W754" s="20">
        <v>5000</v>
      </c>
      <c r="X754" s="20">
        <v>5000</v>
      </c>
      <c r="Y754" s="118">
        <f t="shared" si="111"/>
        <v>0</v>
      </c>
      <c r="Z754" s="24">
        <f>1600+2400+5000</f>
        <v>9000</v>
      </c>
      <c r="AA754" s="118">
        <f t="shared" si="115"/>
        <v>16000</v>
      </c>
      <c r="AB754" s="118"/>
      <c r="AC754" s="24">
        <v>-1000</v>
      </c>
      <c r="AD754" s="118">
        <f t="shared" si="116"/>
        <v>40000</v>
      </c>
    </row>
    <row r="755" spans="1:30" ht="21">
      <c r="A755" s="185" t="s">
        <v>151</v>
      </c>
      <c r="B755" s="185" t="s">
        <v>152</v>
      </c>
      <c r="C755" s="185" t="s">
        <v>153</v>
      </c>
      <c r="D755" s="184" t="s">
        <v>154</v>
      </c>
      <c r="E755" s="19"/>
      <c r="F755" s="96"/>
      <c r="G755" s="20"/>
      <c r="H755" s="21"/>
      <c r="I755" s="33"/>
      <c r="J755" s="58"/>
      <c r="K755" s="23">
        <f>K756</f>
        <v>350000</v>
      </c>
      <c r="L755" s="23">
        <f aca="true" t="shared" si="118" ref="L755:Z755">L756</f>
        <v>100</v>
      </c>
      <c r="M755" s="23">
        <f t="shared" si="118"/>
        <v>0</v>
      </c>
      <c r="N755" s="23">
        <f t="shared" si="118"/>
        <v>0</v>
      </c>
      <c r="O755" s="23">
        <f t="shared" si="118"/>
        <v>70800</v>
      </c>
      <c r="P755" s="23">
        <f t="shared" si="118"/>
        <v>61600</v>
      </c>
      <c r="Q755" s="23">
        <f t="shared" si="118"/>
        <v>0</v>
      </c>
      <c r="R755" s="23">
        <f t="shared" si="118"/>
        <v>35400</v>
      </c>
      <c r="S755" s="23">
        <f t="shared" si="118"/>
        <v>8500</v>
      </c>
      <c r="T755" s="23">
        <f t="shared" si="118"/>
        <v>155500</v>
      </c>
      <c r="U755" s="23">
        <f t="shared" si="118"/>
        <v>18200</v>
      </c>
      <c r="V755" s="23">
        <f t="shared" si="118"/>
        <v>0</v>
      </c>
      <c r="W755" s="23">
        <f t="shared" si="118"/>
        <v>0</v>
      </c>
      <c r="X755" s="23">
        <f t="shared" si="118"/>
        <v>0</v>
      </c>
      <c r="Y755" s="118">
        <f t="shared" si="111"/>
        <v>0</v>
      </c>
      <c r="Z755" s="23">
        <f t="shared" si="118"/>
        <v>87390.76999999999</v>
      </c>
      <c r="AA755" s="118">
        <f t="shared" si="115"/>
        <v>88909.23000000001</v>
      </c>
      <c r="AB755" s="118"/>
      <c r="AC755" s="24"/>
      <c r="AD755" s="118">
        <f t="shared" si="116"/>
        <v>262609.23</v>
      </c>
    </row>
    <row r="756" spans="1:30" ht="30.75">
      <c r="A756" s="185"/>
      <c r="B756" s="185"/>
      <c r="C756" s="185"/>
      <c r="D756" s="184"/>
      <c r="E756" s="26" t="s">
        <v>678</v>
      </c>
      <c r="F756" s="97">
        <v>2538</v>
      </c>
      <c r="G756" s="25" t="s">
        <v>201</v>
      </c>
      <c r="H756" s="24">
        <v>350000</v>
      </c>
      <c r="I756" s="37">
        <v>0</v>
      </c>
      <c r="J756" s="58">
        <v>3122</v>
      </c>
      <c r="K756" s="24">
        <v>350000</v>
      </c>
      <c r="L756" s="34">
        <v>100</v>
      </c>
      <c r="M756" s="20"/>
      <c r="N756" s="20"/>
      <c r="O756" s="20">
        <v>70800</v>
      </c>
      <c r="P756" s="20">
        <v>61600</v>
      </c>
      <c r="Q756" s="20"/>
      <c r="R756" s="20">
        <v>35400</v>
      </c>
      <c r="S756" s="20">
        <v>8500</v>
      </c>
      <c r="T756" s="20">
        <v>155500</v>
      </c>
      <c r="U756" s="20">
        <v>18200</v>
      </c>
      <c r="V756" s="20"/>
      <c r="W756" s="20"/>
      <c r="X756" s="20"/>
      <c r="Y756" s="118">
        <f t="shared" si="111"/>
        <v>0</v>
      </c>
      <c r="Z756" s="24">
        <f>70788.4+8421+8181.37</f>
        <v>87390.76999999999</v>
      </c>
      <c r="AA756" s="118">
        <f t="shared" si="115"/>
        <v>88909.23000000001</v>
      </c>
      <c r="AB756" s="118"/>
      <c r="AC756" s="24"/>
      <c r="AD756" s="118">
        <f t="shared" si="116"/>
        <v>262609.23</v>
      </c>
    </row>
    <row r="757" spans="1:30" ht="30.75">
      <c r="A757" s="108" t="s">
        <v>844</v>
      </c>
      <c r="B757" s="108" t="s">
        <v>833</v>
      </c>
      <c r="C757" s="108" t="s">
        <v>26</v>
      </c>
      <c r="D757" s="110" t="s">
        <v>834</v>
      </c>
      <c r="E757" s="26"/>
      <c r="F757" s="97"/>
      <c r="G757" s="25"/>
      <c r="H757" s="24"/>
      <c r="I757" s="37"/>
      <c r="J757" s="58"/>
      <c r="K757" s="39">
        <f>K758</f>
        <v>8000000</v>
      </c>
      <c r="L757" s="39">
        <f aca="true" t="shared" si="119" ref="L757:Z757">L758</f>
        <v>0</v>
      </c>
      <c r="M757" s="39">
        <f t="shared" si="119"/>
        <v>0</v>
      </c>
      <c r="N757" s="39">
        <f t="shared" si="119"/>
        <v>0</v>
      </c>
      <c r="O757" s="39">
        <f t="shared" si="119"/>
        <v>0</v>
      </c>
      <c r="P757" s="39">
        <f t="shared" si="119"/>
        <v>0</v>
      </c>
      <c r="Q757" s="39">
        <f t="shared" si="119"/>
        <v>0</v>
      </c>
      <c r="R757" s="39">
        <f t="shared" si="119"/>
        <v>0</v>
      </c>
      <c r="S757" s="39">
        <f t="shared" si="119"/>
        <v>0</v>
      </c>
      <c r="T757" s="39">
        <f t="shared" si="119"/>
        <v>0</v>
      </c>
      <c r="U757" s="39">
        <f t="shared" si="119"/>
        <v>0</v>
      </c>
      <c r="V757" s="39">
        <f t="shared" si="119"/>
        <v>0</v>
      </c>
      <c r="W757" s="39">
        <f t="shared" si="119"/>
        <v>8000000</v>
      </c>
      <c r="X757" s="39">
        <f t="shared" si="119"/>
        <v>0</v>
      </c>
      <c r="Y757" s="118">
        <f aca="true" t="shared" si="120" ref="Y757:Y810">K757-M757-N757-O757-P757-Q757-R757-S757-T757-U757-V757-W757-X757</f>
        <v>0</v>
      </c>
      <c r="Z757" s="39">
        <f t="shared" si="119"/>
        <v>0</v>
      </c>
      <c r="AA757" s="118">
        <f t="shared" si="115"/>
        <v>0</v>
      </c>
      <c r="AB757" s="118"/>
      <c r="AC757" s="24"/>
      <c r="AD757" s="118">
        <f t="shared" si="116"/>
        <v>8000000</v>
      </c>
    </row>
    <row r="758" spans="1:30" ht="93">
      <c r="A758" s="108"/>
      <c r="B758" s="108"/>
      <c r="C758" s="108"/>
      <c r="D758" s="110"/>
      <c r="E758" s="26" t="s">
        <v>845</v>
      </c>
      <c r="F758" s="97">
        <v>2605</v>
      </c>
      <c r="G758" s="25"/>
      <c r="H758" s="24"/>
      <c r="I758" s="37"/>
      <c r="J758" s="58">
        <v>3220</v>
      </c>
      <c r="K758" s="24">
        <v>8000000</v>
      </c>
      <c r="L758" s="34"/>
      <c r="M758" s="137"/>
      <c r="N758" s="20"/>
      <c r="O758" s="20">
        <f>8000000-8000000</f>
        <v>0</v>
      </c>
      <c r="P758" s="20"/>
      <c r="Q758" s="20"/>
      <c r="R758" s="20"/>
      <c r="S758" s="20"/>
      <c r="T758" s="20"/>
      <c r="U758" s="20"/>
      <c r="V758" s="20"/>
      <c r="W758" s="20">
        <v>8000000</v>
      </c>
      <c r="X758" s="20"/>
      <c r="Y758" s="118">
        <f t="shared" si="120"/>
        <v>0</v>
      </c>
      <c r="Z758" s="20"/>
      <c r="AA758" s="118">
        <f t="shared" si="115"/>
        <v>0</v>
      </c>
      <c r="AB758" s="118"/>
      <c r="AC758" s="24"/>
      <c r="AD758" s="118">
        <f t="shared" si="116"/>
        <v>8000000</v>
      </c>
    </row>
    <row r="759" spans="1:30" ht="78" hidden="1">
      <c r="A759" s="108" t="s">
        <v>155</v>
      </c>
      <c r="B759" s="108"/>
      <c r="C759" s="108"/>
      <c r="D759" s="110" t="s">
        <v>156</v>
      </c>
      <c r="E759" s="112"/>
      <c r="F759" s="98"/>
      <c r="G759" s="112"/>
      <c r="H759" s="112"/>
      <c r="I759" s="42"/>
      <c r="J759" s="58"/>
      <c r="K759" s="39">
        <f>K760</f>
        <v>0</v>
      </c>
      <c r="L759" s="43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118">
        <f t="shared" si="120"/>
        <v>0</v>
      </c>
      <c r="Z759" s="24"/>
      <c r="AA759" s="118">
        <f t="shared" si="115"/>
        <v>0</v>
      </c>
      <c r="AB759" s="118"/>
      <c r="AC759" s="24"/>
      <c r="AD759" s="118">
        <f t="shared" si="116"/>
        <v>0</v>
      </c>
    </row>
    <row r="760" spans="1:30" ht="78" hidden="1">
      <c r="A760" s="108" t="s">
        <v>157</v>
      </c>
      <c r="B760" s="108"/>
      <c r="C760" s="108"/>
      <c r="D760" s="110" t="s">
        <v>156</v>
      </c>
      <c r="E760" s="112"/>
      <c r="F760" s="98"/>
      <c r="G760" s="112"/>
      <c r="H760" s="112"/>
      <c r="I760" s="42"/>
      <c r="J760" s="58"/>
      <c r="K760" s="39">
        <f>K761</f>
        <v>0</v>
      </c>
      <c r="L760" s="43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118">
        <f t="shared" si="120"/>
        <v>0</v>
      </c>
      <c r="Z760" s="24"/>
      <c r="AA760" s="118">
        <f t="shared" si="115"/>
        <v>0</v>
      </c>
      <c r="AB760" s="118"/>
      <c r="AC760" s="24"/>
      <c r="AD760" s="118">
        <f t="shared" si="116"/>
        <v>0</v>
      </c>
    </row>
    <row r="761" spans="1:30" s="31" customFormat="1" ht="21" hidden="1">
      <c r="A761" s="185" t="s">
        <v>158</v>
      </c>
      <c r="B761" s="185" t="s">
        <v>29</v>
      </c>
      <c r="C761" s="185" t="s">
        <v>30</v>
      </c>
      <c r="D761" s="184" t="s">
        <v>31</v>
      </c>
      <c r="E761" s="19"/>
      <c r="F761" s="96"/>
      <c r="G761" s="20"/>
      <c r="H761" s="21"/>
      <c r="I761" s="33"/>
      <c r="J761" s="58"/>
      <c r="K761" s="23">
        <f>K762</f>
        <v>0</v>
      </c>
      <c r="L761" s="35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118">
        <f t="shared" si="120"/>
        <v>0</v>
      </c>
      <c r="Z761" s="24"/>
      <c r="AA761" s="118">
        <f t="shared" si="115"/>
        <v>0</v>
      </c>
      <c r="AB761" s="118"/>
      <c r="AC761" s="24"/>
      <c r="AD761" s="118">
        <f t="shared" si="116"/>
        <v>0</v>
      </c>
    </row>
    <row r="762" spans="1:30" s="31" customFormat="1" ht="21" hidden="1">
      <c r="A762" s="185"/>
      <c r="B762" s="185"/>
      <c r="C762" s="185"/>
      <c r="D762" s="184"/>
      <c r="E762" s="19"/>
      <c r="F762" s="96"/>
      <c r="G762" s="20"/>
      <c r="H762" s="21"/>
      <c r="I762" s="33"/>
      <c r="J762" s="58"/>
      <c r="K762" s="20"/>
      <c r="L762" s="35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118">
        <f t="shared" si="120"/>
        <v>0</v>
      </c>
      <c r="Z762" s="24"/>
      <c r="AA762" s="118">
        <f t="shared" si="115"/>
        <v>0</v>
      </c>
      <c r="AB762" s="118"/>
      <c r="AC762" s="24"/>
      <c r="AD762" s="118">
        <f t="shared" si="116"/>
        <v>0</v>
      </c>
    </row>
    <row r="763" spans="1:30" ht="46.5" hidden="1">
      <c r="A763" s="108" t="s">
        <v>159</v>
      </c>
      <c r="B763" s="108"/>
      <c r="C763" s="108"/>
      <c r="D763" s="110" t="s">
        <v>160</v>
      </c>
      <c r="E763" s="26"/>
      <c r="F763" s="97"/>
      <c r="G763" s="26"/>
      <c r="H763" s="26"/>
      <c r="I763" s="138"/>
      <c r="J763" s="58"/>
      <c r="K763" s="39">
        <f>K764</f>
        <v>0</v>
      </c>
      <c r="L763" s="39">
        <f aca="true" t="shared" si="121" ref="L763:Z763">L764</f>
        <v>150</v>
      </c>
      <c r="M763" s="39">
        <f t="shared" si="121"/>
        <v>0</v>
      </c>
      <c r="N763" s="39">
        <f t="shared" si="121"/>
        <v>0</v>
      </c>
      <c r="O763" s="39">
        <f t="shared" si="121"/>
        <v>0</v>
      </c>
      <c r="P763" s="39">
        <f t="shared" si="121"/>
        <v>0</v>
      </c>
      <c r="Q763" s="39">
        <f t="shared" si="121"/>
        <v>0</v>
      </c>
      <c r="R763" s="39">
        <f t="shared" si="121"/>
        <v>0</v>
      </c>
      <c r="S763" s="39">
        <f t="shared" si="121"/>
        <v>0</v>
      </c>
      <c r="T763" s="39">
        <f t="shared" si="121"/>
        <v>0</v>
      </c>
      <c r="U763" s="39">
        <f t="shared" si="121"/>
        <v>0</v>
      </c>
      <c r="V763" s="39">
        <f t="shared" si="121"/>
        <v>0</v>
      </c>
      <c r="W763" s="39">
        <f t="shared" si="121"/>
        <v>0</v>
      </c>
      <c r="X763" s="39">
        <f t="shared" si="121"/>
        <v>0</v>
      </c>
      <c r="Y763" s="118">
        <f t="shared" si="120"/>
        <v>0</v>
      </c>
      <c r="Z763" s="39">
        <f t="shared" si="121"/>
        <v>0</v>
      </c>
      <c r="AA763" s="118">
        <f t="shared" si="115"/>
        <v>0</v>
      </c>
      <c r="AB763" s="118"/>
      <c r="AC763" s="24"/>
      <c r="AD763" s="118">
        <f t="shared" si="116"/>
        <v>0</v>
      </c>
    </row>
    <row r="764" spans="1:30" ht="46.5" hidden="1">
      <c r="A764" s="108" t="s">
        <v>161</v>
      </c>
      <c r="B764" s="108"/>
      <c r="C764" s="108"/>
      <c r="D764" s="110" t="s">
        <v>160</v>
      </c>
      <c r="E764" s="26"/>
      <c r="F764" s="97"/>
      <c r="G764" s="26"/>
      <c r="H764" s="26"/>
      <c r="I764" s="138"/>
      <c r="J764" s="58"/>
      <c r="K764" s="39">
        <f>K765+K767</f>
        <v>0</v>
      </c>
      <c r="L764" s="39">
        <f aca="true" t="shared" si="122" ref="L764:X764">L765+L767</f>
        <v>150</v>
      </c>
      <c r="M764" s="39">
        <f t="shared" si="122"/>
        <v>0</v>
      </c>
      <c r="N764" s="39">
        <f t="shared" si="122"/>
        <v>0</v>
      </c>
      <c r="O764" s="39">
        <f t="shared" si="122"/>
        <v>0</v>
      </c>
      <c r="P764" s="39">
        <f t="shared" si="122"/>
        <v>0</v>
      </c>
      <c r="Q764" s="39">
        <f t="shared" si="122"/>
        <v>0</v>
      </c>
      <c r="R764" s="39">
        <f t="shared" si="122"/>
        <v>0</v>
      </c>
      <c r="S764" s="39">
        <f t="shared" si="122"/>
        <v>0</v>
      </c>
      <c r="T764" s="39">
        <f t="shared" si="122"/>
        <v>0</v>
      </c>
      <c r="U764" s="39">
        <f t="shared" si="122"/>
        <v>0</v>
      </c>
      <c r="V764" s="39">
        <f t="shared" si="122"/>
        <v>0</v>
      </c>
      <c r="W764" s="39">
        <f t="shared" si="122"/>
        <v>0</v>
      </c>
      <c r="X764" s="39">
        <f t="shared" si="122"/>
        <v>0</v>
      </c>
      <c r="Y764" s="118">
        <f t="shared" si="120"/>
        <v>0</v>
      </c>
      <c r="Z764" s="39">
        <f>Z765+Z767</f>
        <v>0</v>
      </c>
      <c r="AA764" s="118">
        <f t="shared" si="115"/>
        <v>0</v>
      </c>
      <c r="AB764" s="118"/>
      <c r="AC764" s="24"/>
      <c r="AD764" s="118">
        <f t="shared" si="116"/>
        <v>0</v>
      </c>
    </row>
    <row r="765" spans="1:30" s="31" customFormat="1" ht="21" hidden="1">
      <c r="A765" s="185" t="s">
        <v>162</v>
      </c>
      <c r="B765" s="185" t="s">
        <v>29</v>
      </c>
      <c r="C765" s="185" t="s">
        <v>163</v>
      </c>
      <c r="D765" s="184" t="s">
        <v>31</v>
      </c>
      <c r="E765" s="26"/>
      <c r="F765" s="97"/>
      <c r="G765" s="20"/>
      <c r="H765" s="21"/>
      <c r="I765" s="33"/>
      <c r="J765" s="58"/>
      <c r="K765" s="23">
        <f>SUM(K766:K766)</f>
        <v>0</v>
      </c>
      <c r="L765" s="23">
        <f aca="true" t="shared" si="123" ref="L765:Z765">SUM(L766:L766)</f>
        <v>0</v>
      </c>
      <c r="M765" s="23">
        <f t="shared" si="123"/>
        <v>0</v>
      </c>
      <c r="N765" s="23">
        <f t="shared" si="123"/>
        <v>0</v>
      </c>
      <c r="O765" s="23">
        <f t="shared" si="123"/>
        <v>0</v>
      </c>
      <c r="P765" s="23">
        <f t="shared" si="123"/>
        <v>0</v>
      </c>
      <c r="Q765" s="23">
        <f t="shared" si="123"/>
        <v>0</v>
      </c>
      <c r="R765" s="23">
        <f t="shared" si="123"/>
        <v>0</v>
      </c>
      <c r="S765" s="23">
        <f t="shared" si="123"/>
        <v>0</v>
      </c>
      <c r="T765" s="23">
        <f t="shared" si="123"/>
        <v>0</v>
      </c>
      <c r="U765" s="23">
        <f t="shared" si="123"/>
        <v>0</v>
      </c>
      <c r="V765" s="23">
        <f t="shared" si="123"/>
        <v>0</v>
      </c>
      <c r="W765" s="23">
        <f t="shared" si="123"/>
        <v>0</v>
      </c>
      <c r="X765" s="23">
        <f t="shared" si="123"/>
        <v>0</v>
      </c>
      <c r="Y765" s="118">
        <f t="shared" si="120"/>
        <v>0</v>
      </c>
      <c r="Z765" s="23">
        <f t="shared" si="123"/>
        <v>0</v>
      </c>
      <c r="AA765" s="118">
        <f t="shared" si="115"/>
        <v>0</v>
      </c>
      <c r="AB765" s="118"/>
      <c r="AC765" s="24"/>
      <c r="AD765" s="118">
        <f t="shared" si="116"/>
        <v>0</v>
      </c>
    </row>
    <row r="766" spans="1:30" s="31" customFormat="1" ht="21" hidden="1">
      <c r="A766" s="185"/>
      <c r="B766" s="185"/>
      <c r="C766" s="185"/>
      <c r="D766" s="184"/>
      <c r="E766" s="26"/>
      <c r="F766" s="97"/>
      <c r="G766" s="20"/>
      <c r="H766" s="21"/>
      <c r="I766" s="33"/>
      <c r="J766" s="58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118">
        <f t="shared" si="120"/>
        <v>0</v>
      </c>
      <c r="Z766" s="24"/>
      <c r="AA766" s="118">
        <f t="shared" si="115"/>
        <v>0</v>
      </c>
      <c r="AB766" s="118"/>
      <c r="AC766" s="24"/>
      <c r="AD766" s="118">
        <f t="shared" si="116"/>
        <v>0</v>
      </c>
    </row>
    <row r="767" spans="1:30" ht="21" hidden="1">
      <c r="A767" s="185" t="s">
        <v>221</v>
      </c>
      <c r="B767" s="185" t="s">
        <v>219</v>
      </c>
      <c r="C767" s="185" t="s">
        <v>66</v>
      </c>
      <c r="D767" s="184" t="s">
        <v>220</v>
      </c>
      <c r="E767" s="26"/>
      <c r="F767" s="97"/>
      <c r="G767" s="20"/>
      <c r="H767" s="21"/>
      <c r="I767" s="33"/>
      <c r="J767" s="58"/>
      <c r="K767" s="23">
        <f>K768+K769</f>
        <v>0</v>
      </c>
      <c r="L767" s="23">
        <f aca="true" t="shared" si="124" ref="L767:X767">L768+L769</f>
        <v>150</v>
      </c>
      <c r="M767" s="23">
        <f t="shared" si="124"/>
        <v>0</v>
      </c>
      <c r="N767" s="23">
        <f t="shared" si="124"/>
        <v>0</v>
      </c>
      <c r="O767" s="23">
        <f t="shared" si="124"/>
        <v>0</v>
      </c>
      <c r="P767" s="23">
        <f t="shared" si="124"/>
        <v>0</v>
      </c>
      <c r="Q767" s="23">
        <f t="shared" si="124"/>
        <v>0</v>
      </c>
      <c r="R767" s="23">
        <f t="shared" si="124"/>
        <v>0</v>
      </c>
      <c r="S767" s="23">
        <f t="shared" si="124"/>
        <v>0</v>
      </c>
      <c r="T767" s="23">
        <f t="shared" si="124"/>
        <v>0</v>
      </c>
      <c r="U767" s="23">
        <f t="shared" si="124"/>
        <v>0</v>
      </c>
      <c r="V767" s="23">
        <f t="shared" si="124"/>
        <v>0</v>
      </c>
      <c r="W767" s="23">
        <f t="shared" si="124"/>
        <v>0</v>
      </c>
      <c r="X767" s="23">
        <f t="shared" si="124"/>
        <v>0</v>
      </c>
      <c r="Y767" s="118">
        <f t="shared" si="120"/>
        <v>0</v>
      </c>
      <c r="Z767" s="23">
        <f>Z768+Z769</f>
        <v>0</v>
      </c>
      <c r="AA767" s="118">
        <f t="shared" si="115"/>
        <v>0</v>
      </c>
      <c r="AB767" s="118"/>
      <c r="AC767" s="24"/>
      <c r="AD767" s="118">
        <f t="shared" si="116"/>
        <v>0</v>
      </c>
    </row>
    <row r="768" spans="1:30" ht="46.5" hidden="1">
      <c r="A768" s="185"/>
      <c r="B768" s="185"/>
      <c r="C768" s="185"/>
      <c r="D768" s="184"/>
      <c r="E768" s="26" t="s">
        <v>194</v>
      </c>
      <c r="F768" s="97">
        <v>2539</v>
      </c>
      <c r="G768" s="54" t="s">
        <v>195</v>
      </c>
      <c r="H768" s="20">
        <v>400000</v>
      </c>
      <c r="I768" s="33">
        <v>1.9</v>
      </c>
      <c r="J768" s="58"/>
      <c r="K768" s="20">
        <f>192497-192497</f>
        <v>0</v>
      </c>
      <c r="L768" s="35">
        <v>50</v>
      </c>
      <c r="M768" s="24"/>
      <c r="N768" s="24"/>
      <c r="O768" s="24"/>
      <c r="P768" s="24"/>
      <c r="Q768" s="24">
        <f>92497-92497</f>
        <v>0</v>
      </c>
      <c r="R768" s="24">
        <f>100000-100000</f>
        <v>0</v>
      </c>
      <c r="S768" s="24"/>
      <c r="T768" s="24"/>
      <c r="U768" s="24"/>
      <c r="V768" s="24"/>
      <c r="W768" s="24"/>
      <c r="X768" s="24"/>
      <c r="Y768" s="118">
        <f t="shared" si="120"/>
        <v>0</v>
      </c>
      <c r="Z768" s="24"/>
      <c r="AA768" s="118">
        <f t="shared" si="115"/>
        <v>0</v>
      </c>
      <c r="AB768" s="118"/>
      <c r="AC768" s="24"/>
      <c r="AD768" s="118">
        <f t="shared" si="116"/>
        <v>0</v>
      </c>
    </row>
    <row r="769" spans="1:30" ht="46.5" hidden="1">
      <c r="A769" s="185"/>
      <c r="B769" s="185"/>
      <c r="C769" s="185"/>
      <c r="D769" s="184"/>
      <c r="E769" s="26" t="s">
        <v>637</v>
      </c>
      <c r="F769" s="97">
        <v>2540</v>
      </c>
      <c r="G769" s="54">
        <v>2020</v>
      </c>
      <c r="H769" s="20">
        <v>80000</v>
      </c>
      <c r="I769" s="33">
        <v>0</v>
      </c>
      <c r="J769" s="58"/>
      <c r="K769" s="20">
        <f>80000-80000</f>
        <v>0</v>
      </c>
      <c r="L769" s="35">
        <v>100</v>
      </c>
      <c r="M769" s="24"/>
      <c r="N769" s="24"/>
      <c r="O769" s="24"/>
      <c r="P769" s="24"/>
      <c r="Q769" s="24">
        <f>40000-40000</f>
        <v>0</v>
      </c>
      <c r="R769" s="24">
        <f>40000-40000</f>
        <v>0</v>
      </c>
      <c r="S769" s="24"/>
      <c r="T769" s="24"/>
      <c r="U769" s="24"/>
      <c r="V769" s="24"/>
      <c r="W769" s="24"/>
      <c r="X769" s="24"/>
      <c r="Y769" s="118">
        <f t="shared" si="120"/>
        <v>0</v>
      </c>
      <c r="Z769" s="24"/>
      <c r="AA769" s="118">
        <f t="shared" si="115"/>
        <v>0</v>
      </c>
      <c r="AB769" s="118"/>
      <c r="AC769" s="24"/>
      <c r="AD769" s="118">
        <f t="shared" si="116"/>
        <v>0</v>
      </c>
    </row>
    <row r="770" spans="1:30" s="1" customFormat="1" ht="30.75">
      <c r="A770" s="114" t="s">
        <v>164</v>
      </c>
      <c r="B770" s="119"/>
      <c r="C770" s="120"/>
      <c r="D770" s="112" t="s">
        <v>165</v>
      </c>
      <c r="E770" s="28"/>
      <c r="F770" s="99"/>
      <c r="G770" s="28"/>
      <c r="H770" s="28"/>
      <c r="I770" s="60"/>
      <c r="J770" s="58"/>
      <c r="K770" s="61">
        <f>K771</f>
        <v>6926052.49</v>
      </c>
      <c r="L770" s="61">
        <f aca="true" t="shared" si="125" ref="L770:Z770">L771</f>
        <v>963.3922070265124</v>
      </c>
      <c r="M770" s="61">
        <f t="shared" si="125"/>
        <v>0</v>
      </c>
      <c r="N770" s="61">
        <f t="shared" si="125"/>
        <v>392856.32</v>
      </c>
      <c r="O770" s="61">
        <f t="shared" si="125"/>
        <v>40086.75</v>
      </c>
      <c r="P770" s="61">
        <f t="shared" si="125"/>
        <v>1225337.25</v>
      </c>
      <c r="Q770" s="61">
        <f t="shared" si="125"/>
        <v>805223.23</v>
      </c>
      <c r="R770" s="61">
        <f t="shared" si="125"/>
        <v>0</v>
      </c>
      <c r="S770" s="61">
        <f t="shared" si="125"/>
        <v>656300.41</v>
      </c>
      <c r="T770" s="61">
        <f t="shared" si="125"/>
        <v>1200000</v>
      </c>
      <c r="U770" s="61">
        <f t="shared" si="125"/>
        <v>617392.83</v>
      </c>
      <c r="V770" s="61">
        <f t="shared" si="125"/>
        <v>630000</v>
      </c>
      <c r="W770" s="61">
        <f t="shared" si="125"/>
        <v>1012674.11</v>
      </c>
      <c r="X770" s="61">
        <f t="shared" si="125"/>
        <v>346181.59</v>
      </c>
      <c r="Y770" s="118">
        <f t="shared" si="120"/>
        <v>-7.566995918750763E-10</v>
      </c>
      <c r="Z770" s="61">
        <f t="shared" si="125"/>
        <v>2218542.01</v>
      </c>
      <c r="AA770" s="118">
        <f t="shared" si="115"/>
        <v>901261.9500000002</v>
      </c>
      <c r="AB770" s="118"/>
      <c r="AC770" s="24"/>
      <c r="AD770" s="118">
        <f t="shared" si="116"/>
        <v>4707510.48</v>
      </c>
    </row>
    <row r="771" spans="1:30" s="1" customFormat="1" ht="30.75">
      <c r="A771" s="114" t="s">
        <v>166</v>
      </c>
      <c r="B771" s="119"/>
      <c r="C771" s="120"/>
      <c r="D771" s="112" t="s">
        <v>165</v>
      </c>
      <c r="E771" s="28"/>
      <c r="F771" s="99"/>
      <c r="G771" s="28"/>
      <c r="H771" s="28"/>
      <c r="I771" s="60"/>
      <c r="J771" s="58"/>
      <c r="K771" s="61">
        <f>K774+K784+K782+K772</f>
        <v>6926052.49</v>
      </c>
      <c r="L771" s="61">
        <f aca="true" t="shared" si="126" ref="L771:X771">L774+L784+L782+L772</f>
        <v>963.3922070265124</v>
      </c>
      <c r="M771" s="61">
        <f t="shared" si="126"/>
        <v>0</v>
      </c>
      <c r="N771" s="61">
        <f t="shared" si="126"/>
        <v>392856.32</v>
      </c>
      <c r="O771" s="61">
        <f t="shared" si="126"/>
        <v>40086.75</v>
      </c>
      <c r="P771" s="61">
        <f t="shared" si="126"/>
        <v>1225337.25</v>
      </c>
      <c r="Q771" s="61">
        <f t="shared" si="126"/>
        <v>805223.23</v>
      </c>
      <c r="R771" s="61">
        <f t="shared" si="126"/>
        <v>0</v>
      </c>
      <c r="S771" s="61">
        <f t="shared" si="126"/>
        <v>656300.41</v>
      </c>
      <c r="T771" s="61">
        <f t="shared" si="126"/>
        <v>1200000</v>
      </c>
      <c r="U771" s="61">
        <f t="shared" si="126"/>
        <v>617392.83</v>
      </c>
      <c r="V771" s="61">
        <f t="shared" si="126"/>
        <v>630000</v>
      </c>
      <c r="W771" s="61">
        <f t="shared" si="126"/>
        <v>1012674.11</v>
      </c>
      <c r="X771" s="61">
        <f t="shared" si="126"/>
        <v>346181.59</v>
      </c>
      <c r="Y771" s="118">
        <f t="shared" si="120"/>
        <v>-7.566995918750763E-10</v>
      </c>
      <c r="Z771" s="61">
        <f>Z774+Z784+Z782+Z772</f>
        <v>2218542.01</v>
      </c>
      <c r="AA771" s="118">
        <f t="shared" si="115"/>
        <v>901261.9500000002</v>
      </c>
      <c r="AB771" s="118"/>
      <c r="AC771" s="24"/>
      <c r="AD771" s="118">
        <f t="shared" si="116"/>
        <v>4707510.48</v>
      </c>
    </row>
    <row r="772" spans="1:30" s="1" customFormat="1" ht="21" hidden="1">
      <c r="A772" s="171" t="s">
        <v>578</v>
      </c>
      <c r="B772" s="171" t="s">
        <v>29</v>
      </c>
      <c r="C772" s="171" t="s">
        <v>30</v>
      </c>
      <c r="D772" s="172" t="s">
        <v>31</v>
      </c>
      <c r="E772" s="28"/>
      <c r="F772" s="99"/>
      <c r="G772" s="28"/>
      <c r="H772" s="28"/>
      <c r="I772" s="60"/>
      <c r="J772" s="58"/>
      <c r="K772" s="61">
        <f>K773</f>
        <v>0</v>
      </c>
      <c r="L772" s="61">
        <f aca="true" t="shared" si="127" ref="L772:Z772">L773</f>
        <v>100</v>
      </c>
      <c r="M772" s="61">
        <f t="shared" si="127"/>
        <v>0</v>
      </c>
      <c r="N772" s="61">
        <f t="shared" si="127"/>
        <v>0</v>
      </c>
      <c r="O772" s="61">
        <f t="shared" si="127"/>
        <v>0</v>
      </c>
      <c r="P772" s="61">
        <f t="shared" si="127"/>
        <v>0</v>
      </c>
      <c r="Q772" s="61">
        <f t="shared" si="127"/>
        <v>0</v>
      </c>
      <c r="R772" s="61">
        <f t="shared" si="127"/>
        <v>0</v>
      </c>
      <c r="S772" s="61">
        <f t="shared" si="127"/>
        <v>0</v>
      </c>
      <c r="T772" s="61">
        <f t="shared" si="127"/>
        <v>0</v>
      </c>
      <c r="U772" s="61">
        <f t="shared" si="127"/>
        <v>0</v>
      </c>
      <c r="V772" s="61">
        <f t="shared" si="127"/>
        <v>0</v>
      </c>
      <c r="W772" s="61">
        <f t="shared" si="127"/>
        <v>0</v>
      </c>
      <c r="X772" s="61">
        <f t="shared" si="127"/>
        <v>0</v>
      </c>
      <c r="Y772" s="118">
        <f t="shared" si="120"/>
        <v>0</v>
      </c>
      <c r="Z772" s="61">
        <f t="shared" si="127"/>
        <v>0</v>
      </c>
      <c r="AA772" s="118">
        <f t="shared" si="115"/>
        <v>0</v>
      </c>
      <c r="AB772" s="118"/>
      <c r="AC772" s="24"/>
      <c r="AD772" s="118">
        <f t="shared" si="116"/>
        <v>0</v>
      </c>
    </row>
    <row r="773" spans="1:30" s="1" customFormat="1" ht="21" hidden="1">
      <c r="A773" s="171"/>
      <c r="B773" s="171"/>
      <c r="C773" s="171"/>
      <c r="D773" s="172"/>
      <c r="E773" s="28" t="s">
        <v>579</v>
      </c>
      <c r="F773" s="97">
        <v>2541</v>
      </c>
      <c r="G773" s="55">
        <v>2020</v>
      </c>
      <c r="H773" s="24">
        <v>1000000</v>
      </c>
      <c r="I773" s="37">
        <v>0</v>
      </c>
      <c r="J773" s="58"/>
      <c r="K773" s="24">
        <f>1000000-1000000</f>
        <v>0</v>
      </c>
      <c r="L773" s="34">
        <v>100</v>
      </c>
      <c r="M773" s="24"/>
      <c r="N773" s="24"/>
      <c r="O773" s="24"/>
      <c r="P773" s="24"/>
      <c r="Q773" s="24"/>
      <c r="R773" s="24"/>
      <c r="S773" s="24"/>
      <c r="T773" s="24"/>
      <c r="U773" s="24"/>
      <c r="V773" s="24">
        <f>500000-500000</f>
        <v>0</v>
      </c>
      <c r="W773" s="24">
        <f>500000-500000</f>
        <v>0</v>
      </c>
      <c r="X773" s="24"/>
      <c r="Y773" s="118">
        <f t="shared" si="120"/>
        <v>0</v>
      </c>
      <c r="Z773" s="24"/>
      <c r="AA773" s="118">
        <f t="shared" si="115"/>
        <v>0</v>
      </c>
      <c r="AB773" s="118"/>
      <c r="AC773" s="24"/>
      <c r="AD773" s="118">
        <f t="shared" si="116"/>
        <v>0</v>
      </c>
    </row>
    <row r="774" spans="1:30" s="1" customFormat="1" ht="21">
      <c r="A774" s="184">
        <v>2717330</v>
      </c>
      <c r="B774" s="184">
        <v>7330</v>
      </c>
      <c r="C774" s="185" t="s">
        <v>66</v>
      </c>
      <c r="D774" s="184" t="s">
        <v>220</v>
      </c>
      <c r="E774" s="26"/>
      <c r="F774" s="97"/>
      <c r="G774" s="55"/>
      <c r="H774" s="24"/>
      <c r="I774" s="37"/>
      <c r="J774" s="58"/>
      <c r="K774" s="39">
        <f>SUM(K775:K781)</f>
        <v>4759660.07</v>
      </c>
      <c r="L774" s="39">
        <f aca="true" t="shared" si="128" ref="L774:X774">SUM(L775:L781)</f>
        <v>363.39220702651244</v>
      </c>
      <c r="M774" s="39">
        <f t="shared" si="128"/>
        <v>0</v>
      </c>
      <c r="N774" s="39">
        <f t="shared" si="128"/>
        <v>392856.32</v>
      </c>
      <c r="O774" s="39">
        <f t="shared" si="128"/>
        <v>40086.75</v>
      </c>
      <c r="P774" s="39">
        <f t="shared" si="128"/>
        <v>496717</v>
      </c>
      <c r="Q774" s="39">
        <f t="shared" si="128"/>
        <v>100000</v>
      </c>
      <c r="R774" s="39">
        <f t="shared" si="128"/>
        <v>0</v>
      </c>
      <c r="S774" s="39">
        <f t="shared" si="128"/>
        <v>287325.89</v>
      </c>
      <c r="T774" s="39">
        <f t="shared" si="128"/>
        <v>1200000</v>
      </c>
      <c r="U774" s="39">
        <f t="shared" si="128"/>
        <v>600000</v>
      </c>
      <c r="V774" s="39">
        <f t="shared" si="128"/>
        <v>630000</v>
      </c>
      <c r="W774" s="39">
        <f t="shared" si="128"/>
        <v>1012674.11</v>
      </c>
      <c r="X774" s="39">
        <f t="shared" si="128"/>
        <v>0</v>
      </c>
      <c r="Y774" s="118">
        <f t="shared" si="120"/>
        <v>-1.1641532182693481E-10</v>
      </c>
      <c r="Z774" s="39">
        <f>SUM(Z775:Z781)</f>
        <v>591876.3300000001</v>
      </c>
      <c r="AA774" s="118">
        <f t="shared" si="115"/>
        <v>725109.6299999999</v>
      </c>
      <c r="AB774" s="118"/>
      <c r="AC774" s="24"/>
      <c r="AD774" s="118">
        <f t="shared" si="116"/>
        <v>4167783.74</v>
      </c>
    </row>
    <row r="775" spans="1:30" s="1" customFormat="1" ht="30.75">
      <c r="A775" s="184"/>
      <c r="B775" s="184"/>
      <c r="C775" s="185"/>
      <c r="D775" s="184"/>
      <c r="E775" s="30" t="s">
        <v>732</v>
      </c>
      <c r="F775" s="97">
        <v>2542</v>
      </c>
      <c r="G775" s="25" t="s">
        <v>201</v>
      </c>
      <c r="H775" s="24">
        <v>1441526.7</v>
      </c>
      <c r="I775" s="25">
        <v>55.1</v>
      </c>
      <c r="J775" s="58">
        <v>3132</v>
      </c>
      <c r="K775" s="24">
        <v>793769.07</v>
      </c>
      <c r="L775" s="34">
        <v>100</v>
      </c>
      <c r="M775" s="24"/>
      <c r="N775" s="24">
        <f>161444.24+95521.08</f>
        <v>256965.32</v>
      </c>
      <c r="O775" s="24">
        <v>40086.75</v>
      </c>
      <c r="P775" s="24">
        <v>496717</v>
      </c>
      <c r="Q775" s="24"/>
      <c r="R775" s="24"/>
      <c r="S775" s="24"/>
      <c r="T775" s="24"/>
      <c r="U775" s="24"/>
      <c r="V775" s="24"/>
      <c r="W775" s="24"/>
      <c r="X775" s="24"/>
      <c r="Y775" s="118">
        <f t="shared" si="120"/>
        <v>0</v>
      </c>
      <c r="Z775" s="24">
        <f>255200.73+200784.6</f>
        <v>455985.33</v>
      </c>
      <c r="AA775" s="118">
        <f t="shared" si="115"/>
        <v>337783.74000000005</v>
      </c>
      <c r="AB775" s="118"/>
      <c r="AC775" s="24"/>
      <c r="AD775" s="118">
        <f t="shared" si="116"/>
        <v>337783.73999999993</v>
      </c>
    </row>
    <row r="776" spans="1:30" s="1" customFormat="1" ht="30.75">
      <c r="A776" s="184"/>
      <c r="B776" s="184"/>
      <c r="C776" s="185"/>
      <c r="D776" s="184"/>
      <c r="E776" s="26" t="s">
        <v>204</v>
      </c>
      <c r="F776" s="97">
        <v>2543</v>
      </c>
      <c r="G776" s="55" t="s">
        <v>195</v>
      </c>
      <c r="H776" s="24">
        <v>1300000</v>
      </c>
      <c r="I776" s="37">
        <v>0</v>
      </c>
      <c r="J776" s="58">
        <v>3132</v>
      </c>
      <c r="K776" s="24">
        <v>1200000</v>
      </c>
      <c r="L776" s="34">
        <v>92.4</v>
      </c>
      <c r="M776" s="24"/>
      <c r="N776" s="24"/>
      <c r="O776" s="24"/>
      <c r="P776" s="24"/>
      <c r="Q776" s="24">
        <v>100000</v>
      </c>
      <c r="R776" s="24"/>
      <c r="S776" s="24">
        <v>287325.89</v>
      </c>
      <c r="T776" s="24"/>
      <c r="U776" s="24"/>
      <c r="V776" s="24"/>
      <c r="W776" s="24">
        <v>812674.11</v>
      </c>
      <c r="X776" s="24"/>
      <c r="Y776" s="118">
        <f t="shared" si="120"/>
        <v>0</v>
      </c>
      <c r="Z776" s="24"/>
      <c r="AA776" s="118">
        <f t="shared" si="115"/>
        <v>387325.89</v>
      </c>
      <c r="AB776" s="118"/>
      <c r="AC776" s="24"/>
      <c r="AD776" s="118">
        <f t="shared" si="116"/>
        <v>1200000</v>
      </c>
    </row>
    <row r="777" spans="1:30" s="1" customFormat="1" ht="30.75">
      <c r="A777" s="184"/>
      <c r="B777" s="184"/>
      <c r="C777" s="185"/>
      <c r="D777" s="184"/>
      <c r="E777" s="26" t="s">
        <v>205</v>
      </c>
      <c r="F777" s="97">
        <v>2544</v>
      </c>
      <c r="G777" s="55" t="s">
        <v>195</v>
      </c>
      <c r="H777" s="24">
        <v>1500000</v>
      </c>
      <c r="I777" s="37">
        <v>0</v>
      </c>
      <c r="J777" s="58">
        <v>3132</v>
      </c>
      <c r="K777" s="24">
        <v>1400000</v>
      </c>
      <c r="L777" s="34">
        <v>93.3</v>
      </c>
      <c r="M777" s="24"/>
      <c r="N777" s="24"/>
      <c r="O777" s="24"/>
      <c r="P777" s="24"/>
      <c r="Q777" s="24"/>
      <c r="R777" s="24"/>
      <c r="S777" s="24"/>
      <c r="T777" s="24"/>
      <c r="U777" s="24">
        <v>600000</v>
      </c>
      <c r="V777" s="24">
        <v>600000</v>
      </c>
      <c r="W777" s="24">
        <v>200000</v>
      </c>
      <c r="X777" s="24"/>
      <c r="Y777" s="118">
        <f t="shared" si="120"/>
        <v>0</v>
      </c>
      <c r="Z777" s="24"/>
      <c r="AA777" s="118">
        <f t="shared" si="115"/>
        <v>0</v>
      </c>
      <c r="AB777" s="118"/>
      <c r="AC777" s="24"/>
      <c r="AD777" s="118">
        <f t="shared" si="116"/>
        <v>1400000</v>
      </c>
    </row>
    <row r="778" spans="1:30" s="1" customFormat="1" ht="30.75">
      <c r="A778" s="184"/>
      <c r="B778" s="184"/>
      <c r="C778" s="185"/>
      <c r="D778" s="184"/>
      <c r="E778" s="30" t="s">
        <v>910</v>
      </c>
      <c r="F778" s="97">
        <v>2545</v>
      </c>
      <c r="G778" s="55" t="s">
        <v>201</v>
      </c>
      <c r="H778" s="24">
        <v>100000</v>
      </c>
      <c r="I778" s="48">
        <v>0</v>
      </c>
      <c r="J778" s="58">
        <v>3132</v>
      </c>
      <c r="K778" s="24">
        <v>53163</v>
      </c>
      <c r="L778" s="34">
        <v>53.2</v>
      </c>
      <c r="M778" s="24"/>
      <c r="N778" s="24">
        <v>53163</v>
      </c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118">
        <f t="shared" si="120"/>
        <v>0</v>
      </c>
      <c r="Z778" s="24">
        <v>53163</v>
      </c>
      <c r="AA778" s="118">
        <f t="shared" si="115"/>
        <v>0</v>
      </c>
      <c r="AB778" s="118"/>
      <c r="AC778" s="24"/>
      <c r="AD778" s="118">
        <f t="shared" si="116"/>
        <v>0</v>
      </c>
    </row>
    <row r="779" spans="1:30" s="1" customFormat="1" ht="30.75">
      <c r="A779" s="184"/>
      <c r="B779" s="184"/>
      <c r="C779" s="185"/>
      <c r="D779" s="184"/>
      <c r="E779" s="30" t="s">
        <v>911</v>
      </c>
      <c r="F779" s="97">
        <v>2606</v>
      </c>
      <c r="G779" s="55"/>
      <c r="H779" s="24"/>
      <c r="I779" s="48"/>
      <c r="J779" s="58">
        <v>3132</v>
      </c>
      <c r="K779" s="24">
        <f>1000000-970000</f>
        <v>30000</v>
      </c>
      <c r="L779" s="34"/>
      <c r="M779" s="24"/>
      <c r="N779" s="24"/>
      <c r="O779" s="24"/>
      <c r="P779" s="24"/>
      <c r="Q779" s="24"/>
      <c r="R779" s="24"/>
      <c r="S779" s="24"/>
      <c r="T779" s="24"/>
      <c r="U779" s="24"/>
      <c r="V779" s="24">
        <f>500000-470000</f>
        <v>30000</v>
      </c>
      <c r="W779" s="24">
        <f>500000-500000</f>
        <v>0</v>
      </c>
      <c r="X779" s="24"/>
      <c r="Y779" s="118">
        <f t="shared" si="120"/>
        <v>0</v>
      </c>
      <c r="Z779" s="24"/>
      <c r="AA779" s="118">
        <f t="shared" si="115"/>
        <v>0</v>
      </c>
      <c r="AB779" s="118"/>
      <c r="AC779" s="24"/>
      <c r="AD779" s="118">
        <f t="shared" si="116"/>
        <v>30000</v>
      </c>
    </row>
    <row r="780" spans="1:30" s="1" customFormat="1" ht="34.5" customHeight="1">
      <c r="A780" s="184"/>
      <c r="B780" s="184"/>
      <c r="C780" s="185"/>
      <c r="D780" s="184"/>
      <c r="E780" s="26" t="s">
        <v>206</v>
      </c>
      <c r="F780" s="97">
        <v>2546</v>
      </c>
      <c r="G780" s="48" t="s">
        <v>207</v>
      </c>
      <c r="H780" s="24">
        <v>5237290.37</v>
      </c>
      <c r="I780" s="48">
        <v>0</v>
      </c>
      <c r="J780" s="58">
        <v>3142</v>
      </c>
      <c r="K780" s="24">
        <v>1282728</v>
      </c>
      <c r="L780" s="48">
        <f>K780/H780*100</f>
        <v>24.492207026512453</v>
      </c>
      <c r="M780" s="24"/>
      <c r="N780" s="24">
        <v>82728</v>
      </c>
      <c r="O780" s="24"/>
      <c r="P780" s="24"/>
      <c r="Q780" s="24"/>
      <c r="R780" s="24"/>
      <c r="S780" s="24"/>
      <c r="T780" s="24">
        <v>1200000</v>
      </c>
      <c r="U780" s="24"/>
      <c r="V780" s="24"/>
      <c r="W780" s="24"/>
      <c r="X780" s="24"/>
      <c r="Y780" s="118">
        <f t="shared" si="120"/>
        <v>0</v>
      </c>
      <c r="Z780" s="24">
        <f>82728</f>
        <v>82728</v>
      </c>
      <c r="AA780" s="118">
        <f t="shared" si="115"/>
        <v>0</v>
      </c>
      <c r="AB780" s="118"/>
      <c r="AC780" s="24"/>
      <c r="AD780" s="118">
        <f t="shared" si="116"/>
        <v>1200000</v>
      </c>
    </row>
    <row r="781" spans="1:30" s="1" customFormat="1" ht="15" customHeight="1" hidden="1">
      <c r="A781" s="184"/>
      <c r="B781" s="184"/>
      <c r="C781" s="185"/>
      <c r="D781" s="184"/>
      <c r="E781" s="56"/>
      <c r="F781" s="139"/>
      <c r="G781" s="55"/>
      <c r="H781" s="24"/>
      <c r="I781" s="37"/>
      <c r="J781" s="58"/>
      <c r="K781" s="24"/>
      <c r="L781" s="3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118">
        <f t="shared" si="120"/>
        <v>0</v>
      </c>
      <c r="Z781" s="24"/>
      <c r="AA781" s="118">
        <f t="shared" si="115"/>
        <v>0</v>
      </c>
      <c r="AB781" s="118"/>
      <c r="AC781" s="24"/>
      <c r="AD781" s="118">
        <f t="shared" si="116"/>
        <v>0</v>
      </c>
    </row>
    <row r="782" spans="1:30" s="1" customFormat="1" ht="15" customHeight="1" hidden="1">
      <c r="A782" s="185" t="s">
        <v>167</v>
      </c>
      <c r="B782" s="185" t="s">
        <v>145</v>
      </c>
      <c r="C782" s="184" t="s">
        <v>76</v>
      </c>
      <c r="D782" s="184" t="s">
        <v>146</v>
      </c>
      <c r="E782" s="28"/>
      <c r="F782" s="99"/>
      <c r="G782" s="20"/>
      <c r="H782" s="21"/>
      <c r="I782" s="33"/>
      <c r="J782" s="58"/>
      <c r="K782" s="23">
        <f>SUM(K783:K783)</f>
        <v>0</v>
      </c>
      <c r="L782" s="35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118">
        <f t="shared" si="120"/>
        <v>0</v>
      </c>
      <c r="Z782" s="24"/>
      <c r="AA782" s="118">
        <f t="shared" si="115"/>
        <v>0</v>
      </c>
      <c r="AB782" s="118"/>
      <c r="AC782" s="24"/>
      <c r="AD782" s="118">
        <f t="shared" si="116"/>
        <v>0</v>
      </c>
    </row>
    <row r="783" spans="1:30" s="1" customFormat="1" ht="30.75" hidden="1">
      <c r="A783" s="185"/>
      <c r="B783" s="185"/>
      <c r="C783" s="184"/>
      <c r="D783" s="184"/>
      <c r="E783" s="26" t="s">
        <v>206</v>
      </c>
      <c r="F783" s="97"/>
      <c r="G783" s="48"/>
      <c r="H783" s="24"/>
      <c r="I783" s="48"/>
      <c r="J783" s="58"/>
      <c r="K783" s="24"/>
      <c r="L783" s="48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118">
        <f t="shared" si="120"/>
        <v>0</v>
      </c>
      <c r="Z783" s="24"/>
      <c r="AA783" s="118">
        <f t="shared" si="115"/>
        <v>0</v>
      </c>
      <c r="AB783" s="118"/>
      <c r="AC783" s="24"/>
      <c r="AD783" s="118">
        <f t="shared" si="116"/>
        <v>0</v>
      </c>
    </row>
    <row r="784" spans="1:30" s="1" customFormat="1" ht="21">
      <c r="A784" s="171" t="s">
        <v>168</v>
      </c>
      <c r="B784" s="171" t="s">
        <v>79</v>
      </c>
      <c r="C784" s="171" t="s">
        <v>76</v>
      </c>
      <c r="D784" s="172" t="s">
        <v>80</v>
      </c>
      <c r="E784" s="28"/>
      <c r="F784" s="99"/>
      <c r="G784" s="20"/>
      <c r="H784" s="21"/>
      <c r="I784" s="33"/>
      <c r="J784" s="58"/>
      <c r="K784" s="23">
        <f>K785</f>
        <v>2166392.42</v>
      </c>
      <c r="L784" s="23">
        <f aca="true" t="shared" si="129" ref="L784:Z784">L785</f>
        <v>500</v>
      </c>
      <c r="M784" s="23">
        <f t="shared" si="129"/>
        <v>0</v>
      </c>
      <c r="N784" s="23">
        <f t="shared" si="129"/>
        <v>0</v>
      </c>
      <c r="O784" s="23">
        <f t="shared" si="129"/>
        <v>0</v>
      </c>
      <c r="P784" s="23">
        <f t="shared" si="129"/>
        <v>728620.25</v>
      </c>
      <c r="Q784" s="23">
        <f t="shared" si="129"/>
        <v>705223.23</v>
      </c>
      <c r="R784" s="23">
        <f t="shared" si="129"/>
        <v>0</v>
      </c>
      <c r="S784" s="23">
        <f t="shared" si="129"/>
        <v>368974.52</v>
      </c>
      <c r="T784" s="23">
        <f t="shared" si="129"/>
        <v>0</v>
      </c>
      <c r="U784" s="23">
        <f t="shared" si="129"/>
        <v>17392.83</v>
      </c>
      <c r="V784" s="23">
        <f t="shared" si="129"/>
        <v>0</v>
      </c>
      <c r="W784" s="23">
        <f t="shared" si="129"/>
        <v>0</v>
      </c>
      <c r="X784" s="23">
        <f t="shared" si="129"/>
        <v>346181.59</v>
      </c>
      <c r="Y784" s="118">
        <f t="shared" si="120"/>
        <v>0</v>
      </c>
      <c r="Z784" s="23">
        <f t="shared" si="129"/>
        <v>1626665.68</v>
      </c>
      <c r="AA784" s="118">
        <f t="shared" si="115"/>
        <v>176152.32000000007</v>
      </c>
      <c r="AB784" s="118"/>
      <c r="AC784" s="24"/>
      <c r="AD784" s="118">
        <f t="shared" si="116"/>
        <v>539726.74</v>
      </c>
    </row>
    <row r="785" spans="1:30" s="1" customFormat="1" ht="20.25">
      <c r="A785" s="171"/>
      <c r="B785" s="171"/>
      <c r="C785" s="171"/>
      <c r="D785" s="172"/>
      <c r="E785" s="49" t="s">
        <v>169</v>
      </c>
      <c r="F785" s="140"/>
      <c r="G785" s="20"/>
      <c r="H785" s="21"/>
      <c r="I785" s="33"/>
      <c r="J785" s="58"/>
      <c r="K785" s="23">
        <f>SUM(K786:K794)</f>
        <v>2166392.42</v>
      </c>
      <c r="L785" s="23">
        <f aca="true" t="shared" si="130" ref="L785:X785">SUM(L786:L794)</f>
        <v>500</v>
      </c>
      <c r="M785" s="23">
        <f t="shared" si="130"/>
        <v>0</v>
      </c>
      <c r="N785" s="23">
        <f t="shared" si="130"/>
        <v>0</v>
      </c>
      <c r="O785" s="23">
        <f t="shared" si="130"/>
        <v>0</v>
      </c>
      <c r="P785" s="23">
        <f t="shared" si="130"/>
        <v>728620.25</v>
      </c>
      <c r="Q785" s="23">
        <f t="shared" si="130"/>
        <v>705223.23</v>
      </c>
      <c r="R785" s="23">
        <f t="shared" si="130"/>
        <v>0</v>
      </c>
      <c r="S785" s="23">
        <f t="shared" si="130"/>
        <v>368974.52</v>
      </c>
      <c r="T785" s="23">
        <f t="shared" si="130"/>
        <v>0</v>
      </c>
      <c r="U785" s="23">
        <f t="shared" si="130"/>
        <v>17392.83</v>
      </c>
      <c r="V785" s="23">
        <f t="shared" si="130"/>
        <v>0</v>
      </c>
      <c r="W785" s="23">
        <f t="shared" si="130"/>
        <v>0</v>
      </c>
      <c r="X785" s="23">
        <f t="shared" si="130"/>
        <v>346181.59</v>
      </c>
      <c r="Y785" s="118">
        <f t="shared" si="120"/>
        <v>0</v>
      </c>
      <c r="Z785" s="23">
        <f>SUM(Z786:Z794)</f>
        <v>1626665.68</v>
      </c>
      <c r="AA785" s="118">
        <f t="shared" si="115"/>
        <v>176152.32000000007</v>
      </c>
      <c r="AB785" s="118"/>
      <c r="AC785" s="24"/>
      <c r="AD785" s="118">
        <f t="shared" si="116"/>
        <v>539726.74</v>
      </c>
    </row>
    <row r="786" spans="1:30" s="1" customFormat="1" ht="46.5" hidden="1">
      <c r="A786" s="171"/>
      <c r="B786" s="171"/>
      <c r="C786" s="171"/>
      <c r="D786" s="172"/>
      <c r="E786" s="30" t="s">
        <v>208</v>
      </c>
      <c r="F786" s="97">
        <v>2547</v>
      </c>
      <c r="G786" s="48"/>
      <c r="H786" s="24"/>
      <c r="I786" s="37"/>
      <c r="J786" s="58"/>
      <c r="K786" s="24">
        <f>185000-185000</f>
        <v>0</v>
      </c>
      <c r="L786" s="34"/>
      <c r="M786" s="24"/>
      <c r="N786" s="24"/>
      <c r="O786" s="24"/>
      <c r="P786" s="24"/>
      <c r="Q786" s="24"/>
      <c r="R786" s="24"/>
      <c r="S786" s="24"/>
      <c r="T786" s="24"/>
      <c r="U786" s="24"/>
      <c r="V786" s="24">
        <f>42109.8-42109.8</f>
        <v>0</v>
      </c>
      <c r="W786" s="24"/>
      <c r="X786" s="24">
        <f>142890.2-142890.2</f>
        <v>0</v>
      </c>
      <c r="Y786" s="118">
        <f t="shared" si="120"/>
        <v>0</v>
      </c>
      <c r="Z786" s="24"/>
      <c r="AA786" s="118">
        <f t="shared" si="115"/>
        <v>0</v>
      </c>
      <c r="AB786" s="118"/>
      <c r="AC786" s="24"/>
      <c r="AD786" s="118">
        <f t="shared" si="116"/>
        <v>0</v>
      </c>
    </row>
    <row r="787" spans="1:30" s="1" customFormat="1" ht="46.5">
      <c r="A787" s="171"/>
      <c r="B787" s="171"/>
      <c r="C787" s="171"/>
      <c r="D787" s="172"/>
      <c r="E787" s="30" t="s">
        <v>209</v>
      </c>
      <c r="F787" s="97">
        <v>2548</v>
      </c>
      <c r="G787" s="48"/>
      <c r="H787" s="24"/>
      <c r="I787" s="37"/>
      <c r="J787" s="58">
        <v>3210</v>
      </c>
      <c r="K787" s="24">
        <v>4100</v>
      </c>
      <c r="L787" s="3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>
        <v>4100</v>
      </c>
      <c r="Y787" s="118">
        <f t="shared" si="120"/>
        <v>0</v>
      </c>
      <c r="Z787" s="24"/>
      <c r="AA787" s="118">
        <f aca="true" t="shared" si="131" ref="AA787:AA810">M787+N787+O787+P787+Q787+R787+S787-Z787</f>
        <v>0</v>
      </c>
      <c r="AB787" s="118"/>
      <c r="AC787" s="24"/>
      <c r="AD787" s="118">
        <f t="shared" si="116"/>
        <v>4100</v>
      </c>
    </row>
    <row r="788" spans="1:30" s="1" customFormat="1" ht="30.75" hidden="1">
      <c r="A788" s="171"/>
      <c r="B788" s="171"/>
      <c r="C788" s="171"/>
      <c r="D788" s="172"/>
      <c r="E788" s="30" t="s">
        <v>210</v>
      </c>
      <c r="F788" s="97">
        <v>2549</v>
      </c>
      <c r="G788" s="48"/>
      <c r="H788" s="24"/>
      <c r="I788" s="37"/>
      <c r="J788" s="58">
        <v>3210</v>
      </c>
      <c r="K788" s="24">
        <f>220000-220000</f>
        <v>0</v>
      </c>
      <c r="L788" s="34"/>
      <c r="M788" s="24"/>
      <c r="N788" s="24"/>
      <c r="O788" s="24"/>
      <c r="P788" s="24"/>
      <c r="Q788" s="24"/>
      <c r="R788" s="24"/>
      <c r="S788" s="24"/>
      <c r="T788" s="24"/>
      <c r="U788" s="24"/>
      <c r="V788" s="24">
        <f>220000-220000</f>
        <v>0</v>
      </c>
      <c r="W788" s="24"/>
      <c r="X788" s="24"/>
      <c r="Y788" s="118">
        <f t="shared" si="120"/>
        <v>0</v>
      </c>
      <c r="Z788" s="24"/>
      <c r="AA788" s="118">
        <f t="shared" si="131"/>
        <v>0</v>
      </c>
      <c r="AB788" s="118"/>
      <c r="AC788" s="24"/>
      <c r="AD788" s="118">
        <f t="shared" si="116"/>
        <v>0</v>
      </c>
    </row>
    <row r="789" spans="1:30" s="1" customFormat="1" ht="46.5">
      <c r="A789" s="171"/>
      <c r="B789" s="171"/>
      <c r="C789" s="171"/>
      <c r="D789" s="172"/>
      <c r="E789" s="30" t="s">
        <v>211</v>
      </c>
      <c r="F789" s="97">
        <v>2550</v>
      </c>
      <c r="G789" s="48" t="s">
        <v>201</v>
      </c>
      <c r="H789" s="24">
        <v>5300000</v>
      </c>
      <c r="I789" s="37">
        <v>69</v>
      </c>
      <c r="J789" s="58">
        <v>3210</v>
      </c>
      <c r="K789" s="24">
        <v>1616881.92</v>
      </c>
      <c r="L789" s="34">
        <v>100</v>
      </c>
      <c r="M789" s="24"/>
      <c r="N789" s="24"/>
      <c r="O789" s="24"/>
      <c r="P789" s="24">
        <v>668620.25</v>
      </c>
      <c r="Q789" s="24">
        <f>590137.75-77367</f>
        <v>512770.75</v>
      </c>
      <c r="R789" s="24">
        <f>-73445</f>
        <v>-73445</v>
      </c>
      <c r="S789" s="24">
        <f>77367+73445</f>
        <v>150812</v>
      </c>
      <c r="T789" s="24"/>
      <c r="U789" s="24">
        <v>17392.83</v>
      </c>
      <c r="V789" s="24"/>
      <c r="W789" s="24"/>
      <c r="X789" s="24">
        <v>340731.09</v>
      </c>
      <c r="Y789" s="118">
        <f t="shared" si="120"/>
        <v>0</v>
      </c>
      <c r="Z789" s="24">
        <f>384823.2+499995.6+236449.2</f>
        <v>1121268</v>
      </c>
      <c r="AA789" s="118">
        <f t="shared" si="131"/>
        <v>137490</v>
      </c>
      <c r="AB789" s="118"/>
      <c r="AC789" s="24"/>
      <c r="AD789" s="118">
        <f t="shared" si="116"/>
        <v>495613.9199999999</v>
      </c>
    </row>
    <row r="790" spans="1:30" s="1" customFormat="1" ht="46.5">
      <c r="A790" s="171"/>
      <c r="B790" s="171"/>
      <c r="C790" s="171"/>
      <c r="D790" s="172"/>
      <c r="E790" s="30" t="s">
        <v>212</v>
      </c>
      <c r="F790" s="97">
        <v>2551</v>
      </c>
      <c r="G790" s="48" t="s">
        <v>201</v>
      </c>
      <c r="H790" s="24">
        <v>390000</v>
      </c>
      <c r="I790" s="37">
        <v>1.5</v>
      </c>
      <c r="J790" s="58">
        <v>3210</v>
      </c>
      <c r="K790" s="24">
        <v>384060</v>
      </c>
      <c r="L790" s="34">
        <v>100</v>
      </c>
      <c r="M790" s="24"/>
      <c r="N790" s="24"/>
      <c r="O790" s="24"/>
      <c r="P790" s="24"/>
      <c r="Q790" s="24">
        <v>115085.48</v>
      </c>
      <c r="R790" s="24">
        <f>73445</f>
        <v>73445</v>
      </c>
      <c r="S790" s="24">
        <f>268974.52-73445</f>
        <v>195529.52000000002</v>
      </c>
      <c r="T790" s="24"/>
      <c r="U790" s="24"/>
      <c r="V790" s="24"/>
      <c r="W790" s="24"/>
      <c r="X790" s="24"/>
      <c r="Y790" s="118">
        <f t="shared" si="120"/>
        <v>0</v>
      </c>
      <c r="Z790" s="24">
        <f>188530+179500.68</f>
        <v>368030.68</v>
      </c>
      <c r="AA790" s="118">
        <f t="shared" si="131"/>
        <v>16029.320000000007</v>
      </c>
      <c r="AB790" s="118"/>
      <c r="AC790" s="24"/>
      <c r="AD790" s="118">
        <f t="shared" si="116"/>
        <v>16029.320000000007</v>
      </c>
    </row>
    <row r="791" spans="1:30" s="1" customFormat="1" ht="30.75">
      <c r="A791" s="171"/>
      <c r="B791" s="171"/>
      <c r="C791" s="171"/>
      <c r="D791" s="172"/>
      <c r="E791" s="30" t="s">
        <v>636</v>
      </c>
      <c r="F791" s="97">
        <v>2552</v>
      </c>
      <c r="G791" s="48" t="s">
        <v>201</v>
      </c>
      <c r="H791" s="24">
        <v>120000</v>
      </c>
      <c r="I791" s="37">
        <v>98.9</v>
      </c>
      <c r="J791" s="58">
        <v>3210</v>
      </c>
      <c r="K791" s="24">
        <v>1350.5</v>
      </c>
      <c r="L791" s="34">
        <v>100</v>
      </c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>
        <v>1350.5</v>
      </c>
      <c r="Y791" s="118">
        <f t="shared" si="120"/>
        <v>0</v>
      </c>
      <c r="Z791" s="24"/>
      <c r="AA791" s="118">
        <f t="shared" si="131"/>
        <v>0</v>
      </c>
      <c r="AB791" s="118"/>
      <c r="AC791" s="24"/>
      <c r="AD791" s="118">
        <f t="shared" si="116"/>
        <v>1350.5</v>
      </c>
    </row>
    <row r="792" spans="1:30" s="1" customFormat="1" ht="30.75" hidden="1">
      <c r="A792" s="171"/>
      <c r="B792" s="171"/>
      <c r="C792" s="171"/>
      <c r="D792" s="172"/>
      <c r="E792" s="30" t="s">
        <v>213</v>
      </c>
      <c r="F792" s="97">
        <v>2553</v>
      </c>
      <c r="G792" s="48" t="s">
        <v>201</v>
      </c>
      <c r="H792" s="24">
        <v>120000</v>
      </c>
      <c r="I792" s="37">
        <v>0</v>
      </c>
      <c r="J792" s="58">
        <v>3210</v>
      </c>
      <c r="K792" s="24">
        <f>120000-120000</f>
        <v>0</v>
      </c>
      <c r="L792" s="34">
        <v>100</v>
      </c>
      <c r="M792" s="24"/>
      <c r="N792" s="24"/>
      <c r="O792" s="24"/>
      <c r="P792" s="24"/>
      <c r="Q792" s="24"/>
      <c r="R792" s="24">
        <f>36782.32-36782.32</f>
        <v>0</v>
      </c>
      <c r="S792" s="24">
        <f>83217.68-83217.68</f>
        <v>0</v>
      </c>
      <c r="T792" s="24"/>
      <c r="U792" s="24"/>
      <c r="V792" s="24"/>
      <c r="W792" s="24"/>
      <c r="X792" s="24"/>
      <c r="Y792" s="118">
        <f t="shared" si="120"/>
        <v>0</v>
      </c>
      <c r="Z792" s="24"/>
      <c r="AA792" s="118">
        <f t="shared" si="131"/>
        <v>0</v>
      </c>
      <c r="AB792" s="118"/>
      <c r="AC792" s="24"/>
      <c r="AD792" s="118">
        <f t="shared" si="116"/>
        <v>0</v>
      </c>
    </row>
    <row r="793" spans="1:30" s="1" customFormat="1" ht="21">
      <c r="A793" s="171"/>
      <c r="B793" s="171"/>
      <c r="C793" s="171"/>
      <c r="D793" s="172"/>
      <c r="E793" s="30" t="s">
        <v>676</v>
      </c>
      <c r="F793" s="97">
        <v>2554</v>
      </c>
      <c r="G793" s="55">
        <v>2020</v>
      </c>
      <c r="H793" s="24">
        <v>1480000</v>
      </c>
      <c r="I793" s="48">
        <v>0</v>
      </c>
      <c r="J793" s="58">
        <v>3210</v>
      </c>
      <c r="K793" s="20">
        <f>1480000-1380000</f>
        <v>100000</v>
      </c>
      <c r="L793" s="35">
        <v>100</v>
      </c>
      <c r="M793" s="24"/>
      <c r="N793" s="24"/>
      <c r="O793" s="24"/>
      <c r="P793" s="24"/>
      <c r="Q793" s="24">
        <f>77367</f>
        <v>77367</v>
      </c>
      <c r="R793" s="24"/>
      <c r="S793" s="24">
        <f>1200915.38-1100915.38-77367</f>
        <v>22633</v>
      </c>
      <c r="T793" s="24">
        <f>187738.79-187738.79</f>
        <v>0</v>
      </c>
      <c r="U793" s="24"/>
      <c r="V793" s="24">
        <f>91345.83-91345.83</f>
        <v>0</v>
      </c>
      <c r="W793" s="24"/>
      <c r="X793" s="24"/>
      <c r="Y793" s="118">
        <f t="shared" si="120"/>
        <v>0</v>
      </c>
      <c r="Z793" s="24">
        <f>77367</f>
        <v>77367</v>
      </c>
      <c r="AA793" s="118">
        <f t="shared" si="131"/>
        <v>22633</v>
      </c>
      <c r="AB793" s="118"/>
      <c r="AC793" s="24"/>
      <c r="AD793" s="118">
        <f t="shared" si="116"/>
        <v>22633</v>
      </c>
    </row>
    <row r="794" spans="1:30" s="1" customFormat="1" ht="30.75">
      <c r="A794" s="171"/>
      <c r="B794" s="171"/>
      <c r="C794" s="171"/>
      <c r="D794" s="172"/>
      <c r="E794" s="30" t="s">
        <v>214</v>
      </c>
      <c r="F794" s="97">
        <v>2555</v>
      </c>
      <c r="G794" s="48"/>
      <c r="H794" s="24"/>
      <c r="I794" s="37"/>
      <c r="J794" s="58">
        <v>3210</v>
      </c>
      <c r="K794" s="24">
        <v>60000</v>
      </c>
      <c r="L794" s="34"/>
      <c r="M794" s="24"/>
      <c r="N794" s="24"/>
      <c r="O794" s="24"/>
      <c r="P794" s="24">
        <v>60000</v>
      </c>
      <c r="Q794" s="24"/>
      <c r="R794" s="24"/>
      <c r="S794" s="24"/>
      <c r="T794" s="24"/>
      <c r="U794" s="24"/>
      <c r="V794" s="24"/>
      <c r="W794" s="24"/>
      <c r="X794" s="24"/>
      <c r="Y794" s="118">
        <f t="shared" si="120"/>
        <v>0</v>
      </c>
      <c r="Z794" s="24">
        <v>60000</v>
      </c>
      <c r="AA794" s="118">
        <f t="shared" si="131"/>
        <v>0</v>
      </c>
      <c r="AB794" s="118"/>
      <c r="AC794" s="24"/>
      <c r="AD794" s="118">
        <f t="shared" si="116"/>
        <v>0</v>
      </c>
    </row>
    <row r="795" spans="1:30" s="1" customFormat="1" ht="46.5">
      <c r="A795" s="109" t="s">
        <v>170</v>
      </c>
      <c r="B795" s="109"/>
      <c r="C795" s="109"/>
      <c r="D795" s="111" t="s">
        <v>171</v>
      </c>
      <c r="E795" s="28"/>
      <c r="F795" s="99"/>
      <c r="G795" s="28"/>
      <c r="H795" s="28"/>
      <c r="I795" s="60"/>
      <c r="J795" s="58"/>
      <c r="K795" s="141">
        <f>K796</f>
        <v>654818</v>
      </c>
      <c r="L795" s="141">
        <f aca="true" t="shared" si="132" ref="L795:Z797">L796</f>
        <v>0</v>
      </c>
      <c r="M795" s="141">
        <f t="shared" si="132"/>
        <v>0</v>
      </c>
      <c r="N795" s="141">
        <f t="shared" si="132"/>
        <v>25400</v>
      </c>
      <c r="O795" s="141">
        <f t="shared" si="132"/>
        <v>0</v>
      </c>
      <c r="P795" s="141">
        <f t="shared" si="132"/>
        <v>0</v>
      </c>
      <c r="Q795" s="141">
        <f t="shared" si="132"/>
        <v>432418</v>
      </c>
      <c r="R795" s="141">
        <f t="shared" si="132"/>
        <v>197000</v>
      </c>
      <c r="S795" s="141">
        <f t="shared" si="132"/>
        <v>0</v>
      </c>
      <c r="T795" s="141">
        <f t="shared" si="132"/>
        <v>0</v>
      </c>
      <c r="U795" s="141">
        <f t="shared" si="132"/>
        <v>0</v>
      </c>
      <c r="V795" s="141">
        <f t="shared" si="132"/>
        <v>0</v>
      </c>
      <c r="W795" s="141">
        <f t="shared" si="132"/>
        <v>0</v>
      </c>
      <c r="X795" s="141">
        <f t="shared" si="132"/>
        <v>0</v>
      </c>
      <c r="Y795" s="118">
        <f t="shared" si="120"/>
        <v>0</v>
      </c>
      <c r="Z795" s="141">
        <f t="shared" si="132"/>
        <v>24600</v>
      </c>
      <c r="AA795" s="118">
        <f t="shared" si="131"/>
        <v>630218</v>
      </c>
      <c r="AB795" s="118"/>
      <c r="AC795" s="24"/>
      <c r="AD795" s="118">
        <f t="shared" si="116"/>
        <v>630218</v>
      </c>
    </row>
    <row r="796" spans="1:30" ht="46.5">
      <c r="A796" s="109" t="s">
        <v>172</v>
      </c>
      <c r="B796" s="109"/>
      <c r="C796" s="109"/>
      <c r="D796" s="111" t="s">
        <v>171</v>
      </c>
      <c r="E796" s="28"/>
      <c r="F796" s="99"/>
      <c r="G796" s="28"/>
      <c r="H796" s="28"/>
      <c r="I796" s="60"/>
      <c r="J796" s="58"/>
      <c r="K796" s="141">
        <f>K797</f>
        <v>654818</v>
      </c>
      <c r="L796" s="141">
        <f t="shared" si="132"/>
        <v>0</v>
      </c>
      <c r="M796" s="141">
        <f t="shared" si="132"/>
        <v>0</v>
      </c>
      <c r="N796" s="141">
        <f t="shared" si="132"/>
        <v>25400</v>
      </c>
      <c r="O796" s="141">
        <f t="shared" si="132"/>
        <v>0</v>
      </c>
      <c r="P796" s="141">
        <f t="shared" si="132"/>
        <v>0</v>
      </c>
      <c r="Q796" s="141">
        <f t="shared" si="132"/>
        <v>432418</v>
      </c>
      <c r="R796" s="141">
        <f t="shared" si="132"/>
        <v>197000</v>
      </c>
      <c r="S796" s="141">
        <f t="shared" si="132"/>
        <v>0</v>
      </c>
      <c r="T796" s="141">
        <f t="shared" si="132"/>
        <v>0</v>
      </c>
      <c r="U796" s="141">
        <f t="shared" si="132"/>
        <v>0</v>
      </c>
      <c r="V796" s="141">
        <f t="shared" si="132"/>
        <v>0</v>
      </c>
      <c r="W796" s="141">
        <f t="shared" si="132"/>
        <v>0</v>
      </c>
      <c r="X796" s="141">
        <f t="shared" si="132"/>
        <v>0</v>
      </c>
      <c r="Y796" s="118">
        <f t="shared" si="120"/>
        <v>0</v>
      </c>
      <c r="Z796" s="141">
        <f t="shared" si="132"/>
        <v>24600</v>
      </c>
      <c r="AA796" s="118">
        <f t="shared" si="131"/>
        <v>630218</v>
      </c>
      <c r="AB796" s="118"/>
      <c r="AC796" s="24"/>
      <c r="AD796" s="118">
        <f t="shared" si="116"/>
        <v>630218</v>
      </c>
    </row>
    <row r="797" spans="1:30" s="22" customFormat="1" ht="21">
      <c r="A797" s="171" t="s">
        <v>173</v>
      </c>
      <c r="B797" s="171" t="s">
        <v>29</v>
      </c>
      <c r="C797" s="171" t="s">
        <v>30</v>
      </c>
      <c r="D797" s="172" t="s">
        <v>31</v>
      </c>
      <c r="E797" s="28"/>
      <c r="F797" s="99"/>
      <c r="G797" s="20"/>
      <c r="H797" s="21"/>
      <c r="I797" s="33"/>
      <c r="J797" s="33"/>
      <c r="K797" s="23">
        <f>K798</f>
        <v>654818</v>
      </c>
      <c r="L797" s="23">
        <f t="shared" si="132"/>
        <v>0</v>
      </c>
      <c r="M797" s="23">
        <f t="shared" si="132"/>
        <v>0</v>
      </c>
      <c r="N797" s="23">
        <f t="shared" si="132"/>
        <v>25400</v>
      </c>
      <c r="O797" s="23">
        <f t="shared" si="132"/>
        <v>0</v>
      </c>
      <c r="P797" s="23">
        <f t="shared" si="132"/>
        <v>0</v>
      </c>
      <c r="Q797" s="23">
        <f t="shared" si="132"/>
        <v>432418</v>
      </c>
      <c r="R797" s="23">
        <f t="shared" si="132"/>
        <v>197000</v>
      </c>
      <c r="S797" s="23">
        <f t="shared" si="132"/>
        <v>0</v>
      </c>
      <c r="T797" s="23">
        <f t="shared" si="132"/>
        <v>0</v>
      </c>
      <c r="U797" s="23">
        <f t="shared" si="132"/>
        <v>0</v>
      </c>
      <c r="V797" s="23">
        <f t="shared" si="132"/>
        <v>0</v>
      </c>
      <c r="W797" s="23">
        <f t="shared" si="132"/>
        <v>0</v>
      </c>
      <c r="X797" s="23">
        <f t="shared" si="132"/>
        <v>0</v>
      </c>
      <c r="Y797" s="118">
        <f t="shared" si="120"/>
        <v>0</v>
      </c>
      <c r="Z797" s="23">
        <f t="shared" si="132"/>
        <v>24600</v>
      </c>
      <c r="AA797" s="118">
        <f t="shared" si="131"/>
        <v>630218</v>
      </c>
      <c r="AB797" s="118"/>
      <c r="AC797" s="24"/>
      <c r="AD797" s="118">
        <f t="shared" si="116"/>
        <v>630218</v>
      </c>
    </row>
    <row r="798" spans="1:30" s="22" customFormat="1" ht="46.5">
      <c r="A798" s="171"/>
      <c r="B798" s="171"/>
      <c r="C798" s="171"/>
      <c r="D798" s="172"/>
      <c r="E798" s="28" t="s">
        <v>217</v>
      </c>
      <c r="F798" s="97">
        <v>2556</v>
      </c>
      <c r="G798" s="20"/>
      <c r="H798" s="21"/>
      <c r="I798" s="33"/>
      <c r="J798" s="58">
        <v>3110</v>
      </c>
      <c r="K798" s="20">
        <f>852434-197616</f>
        <v>654818</v>
      </c>
      <c r="L798" s="35"/>
      <c r="M798" s="24"/>
      <c r="N798" s="24">
        <v>25400</v>
      </c>
      <c r="O798" s="24"/>
      <c r="P798" s="24"/>
      <c r="Q798" s="24">
        <f>630034-197616</f>
        <v>432418</v>
      </c>
      <c r="R798" s="24">
        <v>197000</v>
      </c>
      <c r="S798" s="24"/>
      <c r="T798" s="24"/>
      <c r="U798" s="24"/>
      <c r="V798" s="24"/>
      <c r="W798" s="24"/>
      <c r="X798" s="24"/>
      <c r="Y798" s="118">
        <f t="shared" si="120"/>
        <v>0</v>
      </c>
      <c r="Z798" s="24">
        <v>24600</v>
      </c>
      <c r="AA798" s="118">
        <f t="shared" si="131"/>
        <v>630218</v>
      </c>
      <c r="AB798" s="118"/>
      <c r="AC798" s="24"/>
      <c r="AD798" s="118">
        <f t="shared" si="116"/>
        <v>630218</v>
      </c>
    </row>
    <row r="799" spans="1:30" s="22" customFormat="1" ht="30.75">
      <c r="A799" s="114" t="s">
        <v>22</v>
      </c>
      <c r="B799" s="114"/>
      <c r="C799" s="114"/>
      <c r="D799" s="111" t="s">
        <v>23</v>
      </c>
      <c r="E799" s="19"/>
      <c r="F799" s="96"/>
      <c r="G799" s="20"/>
      <c r="H799" s="21"/>
      <c r="I799" s="33"/>
      <c r="J799" s="58"/>
      <c r="K799" s="23">
        <f>K800</f>
        <v>1050000</v>
      </c>
      <c r="L799" s="23">
        <f aca="true" t="shared" si="133" ref="L799:Z799">L800</f>
        <v>0</v>
      </c>
      <c r="M799" s="23">
        <f t="shared" si="133"/>
        <v>0</v>
      </c>
      <c r="N799" s="23">
        <f t="shared" si="133"/>
        <v>50000</v>
      </c>
      <c r="O799" s="23">
        <f t="shared" si="133"/>
        <v>1000000</v>
      </c>
      <c r="P799" s="23">
        <f t="shared" si="133"/>
        <v>0</v>
      </c>
      <c r="Q799" s="23">
        <f t="shared" si="133"/>
        <v>0</v>
      </c>
      <c r="R799" s="23">
        <f t="shared" si="133"/>
        <v>0</v>
      </c>
      <c r="S799" s="23">
        <f t="shared" si="133"/>
        <v>0</v>
      </c>
      <c r="T799" s="23">
        <f t="shared" si="133"/>
        <v>0</v>
      </c>
      <c r="U799" s="23">
        <f t="shared" si="133"/>
        <v>0</v>
      </c>
      <c r="V799" s="23">
        <f t="shared" si="133"/>
        <v>0</v>
      </c>
      <c r="W799" s="23">
        <f t="shared" si="133"/>
        <v>0</v>
      </c>
      <c r="X799" s="23">
        <f t="shared" si="133"/>
        <v>0</v>
      </c>
      <c r="Y799" s="118">
        <f t="shared" si="120"/>
        <v>0</v>
      </c>
      <c r="Z799" s="23">
        <f t="shared" si="133"/>
        <v>1030000</v>
      </c>
      <c r="AA799" s="118">
        <f t="shared" si="131"/>
        <v>20000</v>
      </c>
      <c r="AB799" s="118"/>
      <c r="AC799" s="24"/>
      <c r="AD799" s="118">
        <f t="shared" si="116"/>
        <v>20000</v>
      </c>
    </row>
    <row r="800" spans="1:30" s="22" customFormat="1" ht="30.75">
      <c r="A800" s="114" t="s">
        <v>24</v>
      </c>
      <c r="B800" s="114"/>
      <c r="C800" s="114"/>
      <c r="D800" s="111" t="s">
        <v>23</v>
      </c>
      <c r="E800" s="19"/>
      <c r="F800" s="96"/>
      <c r="G800" s="20"/>
      <c r="H800" s="21"/>
      <c r="I800" s="33"/>
      <c r="J800" s="58"/>
      <c r="K800" s="23">
        <f>K801+K804</f>
        <v>1050000</v>
      </c>
      <c r="L800" s="23">
        <f aca="true" t="shared" si="134" ref="L800:Z800">L801+L804</f>
        <v>0</v>
      </c>
      <c r="M800" s="23">
        <f t="shared" si="134"/>
        <v>0</v>
      </c>
      <c r="N800" s="23">
        <f t="shared" si="134"/>
        <v>50000</v>
      </c>
      <c r="O800" s="23">
        <f t="shared" si="134"/>
        <v>1000000</v>
      </c>
      <c r="P800" s="23">
        <f t="shared" si="134"/>
        <v>0</v>
      </c>
      <c r="Q800" s="23">
        <f t="shared" si="134"/>
        <v>0</v>
      </c>
      <c r="R800" s="23">
        <f t="shared" si="134"/>
        <v>0</v>
      </c>
      <c r="S800" s="23">
        <f t="shared" si="134"/>
        <v>0</v>
      </c>
      <c r="T800" s="23">
        <f t="shared" si="134"/>
        <v>0</v>
      </c>
      <c r="U800" s="23">
        <f t="shared" si="134"/>
        <v>0</v>
      </c>
      <c r="V800" s="23">
        <f t="shared" si="134"/>
        <v>0</v>
      </c>
      <c r="W800" s="23">
        <f t="shared" si="134"/>
        <v>0</v>
      </c>
      <c r="X800" s="23">
        <f t="shared" si="134"/>
        <v>0</v>
      </c>
      <c r="Y800" s="118">
        <f t="shared" si="120"/>
        <v>0</v>
      </c>
      <c r="Z800" s="23">
        <f t="shared" si="134"/>
        <v>1030000</v>
      </c>
      <c r="AA800" s="118">
        <f t="shared" si="131"/>
        <v>20000</v>
      </c>
      <c r="AB800" s="118"/>
      <c r="AC800" s="24"/>
      <c r="AD800" s="118">
        <f aca="true" t="shared" si="135" ref="AD800:AD810">K800-Z800+AC800-AB800</f>
        <v>20000</v>
      </c>
    </row>
    <row r="801" spans="1:30" s="22" customFormat="1" ht="21">
      <c r="A801" s="171" t="s">
        <v>28</v>
      </c>
      <c r="B801" s="171" t="s">
        <v>29</v>
      </c>
      <c r="C801" s="171" t="s">
        <v>30</v>
      </c>
      <c r="D801" s="172" t="s">
        <v>31</v>
      </c>
      <c r="E801" s="19"/>
      <c r="F801" s="96"/>
      <c r="G801" s="20"/>
      <c r="H801" s="21"/>
      <c r="I801" s="33"/>
      <c r="J801" s="58"/>
      <c r="K801" s="23">
        <f>SUM(K802:K803)</f>
        <v>50000</v>
      </c>
      <c r="L801" s="23">
        <f aca="true" t="shared" si="136" ref="L801:X801">SUM(L802:L803)</f>
        <v>0</v>
      </c>
      <c r="M801" s="23">
        <f t="shared" si="136"/>
        <v>0</v>
      </c>
      <c r="N801" s="23">
        <f t="shared" si="136"/>
        <v>50000</v>
      </c>
      <c r="O801" s="23">
        <f t="shared" si="136"/>
        <v>0</v>
      </c>
      <c r="P801" s="23">
        <f t="shared" si="136"/>
        <v>0</v>
      </c>
      <c r="Q801" s="23">
        <f t="shared" si="136"/>
        <v>0</v>
      </c>
      <c r="R801" s="23">
        <f t="shared" si="136"/>
        <v>0</v>
      </c>
      <c r="S801" s="23">
        <f t="shared" si="136"/>
        <v>0</v>
      </c>
      <c r="T801" s="23">
        <f t="shared" si="136"/>
        <v>0</v>
      </c>
      <c r="U801" s="23">
        <f t="shared" si="136"/>
        <v>0</v>
      </c>
      <c r="V801" s="23">
        <f t="shared" si="136"/>
        <v>0</v>
      </c>
      <c r="W801" s="23">
        <f t="shared" si="136"/>
        <v>0</v>
      </c>
      <c r="X801" s="23">
        <f t="shared" si="136"/>
        <v>0</v>
      </c>
      <c r="Y801" s="118">
        <f t="shared" si="120"/>
        <v>0</v>
      </c>
      <c r="Z801" s="23">
        <f>SUM(Z802:Z803)</f>
        <v>30000</v>
      </c>
      <c r="AA801" s="118">
        <f t="shared" si="131"/>
        <v>20000</v>
      </c>
      <c r="AB801" s="118"/>
      <c r="AC801" s="24"/>
      <c r="AD801" s="118">
        <f t="shared" si="135"/>
        <v>20000</v>
      </c>
    </row>
    <row r="802" spans="1:30" s="22" customFormat="1" ht="30.75" hidden="1">
      <c r="A802" s="171"/>
      <c r="B802" s="171"/>
      <c r="C802" s="171"/>
      <c r="D802" s="172"/>
      <c r="E802" s="19" t="s">
        <v>216</v>
      </c>
      <c r="F802" s="96"/>
      <c r="G802" s="20"/>
      <c r="H802" s="21"/>
      <c r="I802" s="33"/>
      <c r="J802" s="58"/>
      <c r="K802" s="20"/>
      <c r="L802" s="35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118">
        <f t="shared" si="120"/>
        <v>0</v>
      </c>
      <c r="Z802" s="24"/>
      <c r="AA802" s="118">
        <f t="shared" si="131"/>
        <v>0</v>
      </c>
      <c r="AB802" s="118"/>
      <c r="AC802" s="24"/>
      <c r="AD802" s="118">
        <f t="shared" si="135"/>
        <v>0</v>
      </c>
    </row>
    <row r="803" spans="1:30" s="22" customFormat="1" ht="21">
      <c r="A803" s="171"/>
      <c r="B803" s="171"/>
      <c r="C803" s="171"/>
      <c r="D803" s="172"/>
      <c r="E803" s="26" t="s">
        <v>215</v>
      </c>
      <c r="F803" s="97">
        <v>2557</v>
      </c>
      <c r="G803" s="25"/>
      <c r="H803" s="25"/>
      <c r="I803" s="37"/>
      <c r="J803" s="58">
        <v>3160</v>
      </c>
      <c r="K803" s="24">
        <v>50000</v>
      </c>
      <c r="L803" s="35"/>
      <c r="M803" s="24"/>
      <c r="N803" s="24">
        <v>50000</v>
      </c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118">
        <f t="shared" si="120"/>
        <v>0</v>
      </c>
      <c r="Z803" s="24">
        <f>30000</f>
        <v>30000</v>
      </c>
      <c r="AA803" s="118">
        <f t="shared" si="131"/>
        <v>20000</v>
      </c>
      <c r="AB803" s="118"/>
      <c r="AC803" s="24">
        <v>-20000</v>
      </c>
      <c r="AD803" s="118">
        <f t="shared" si="135"/>
        <v>0</v>
      </c>
    </row>
    <row r="804" spans="1:30" s="22" customFormat="1" ht="21">
      <c r="A804" s="168" t="s">
        <v>846</v>
      </c>
      <c r="B804" s="109" t="s">
        <v>25</v>
      </c>
      <c r="C804" s="109" t="s">
        <v>26</v>
      </c>
      <c r="D804" s="165" t="s">
        <v>847</v>
      </c>
      <c r="E804" s="26"/>
      <c r="F804" s="97"/>
      <c r="G804" s="25"/>
      <c r="H804" s="25"/>
      <c r="I804" s="37"/>
      <c r="J804" s="58"/>
      <c r="K804" s="39">
        <f>K805</f>
        <v>1000000</v>
      </c>
      <c r="L804" s="39">
        <f aca="true" t="shared" si="137" ref="L804:Z804">L805</f>
        <v>0</v>
      </c>
      <c r="M804" s="39">
        <f t="shared" si="137"/>
        <v>0</v>
      </c>
      <c r="N804" s="39">
        <f t="shared" si="137"/>
        <v>0</v>
      </c>
      <c r="O804" s="39">
        <f t="shared" si="137"/>
        <v>1000000</v>
      </c>
      <c r="P804" s="39">
        <f t="shared" si="137"/>
        <v>0</v>
      </c>
      <c r="Q804" s="39">
        <f t="shared" si="137"/>
        <v>0</v>
      </c>
      <c r="R804" s="39">
        <f t="shared" si="137"/>
        <v>0</v>
      </c>
      <c r="S804" s="39">
        <f t="shared" si="137"/>
        <v>0</v>
      </c>
      <c r="T804" s="39">
        <f t="shared" si="137"/>
        <v>0</v>
      </c>
      <c r="U804" s="39">
        <f t="shared" si="137"/>
        <v>0</v>
      </c>
      <c r="V804" s="39">
        <f t="shared" si="137"/>
        <v>0</v>
      </c>
      <c r="W804" s="39">
        <f t="shared" si="137"/>
        <v>0</v>
      </c>
      <c r="X804" s="39">
        <f t="shared" si="137"/>
        <v>0</v>
      </c>
      <c r="Y804" s="118">
        <f t="shared" si="120"/>
        <v>0</v>
      </c>
      <c r="Z804" s="39">
        <f t="shared" si="137"/>
        <v>1000000</v>
      </c>
      <c r="AA804" s="118">
        <f t="shared" si="131"/>
        <v>0</v>
      </c>
      <c r="AB804" s="118"/>
      <c r="AC804" s="24"/>
      <c r="AD804" s="118">
        <f t="shared" si="135"/>
        <v>0</v>
      </c>
    </row>
    <row r="805" spans="1:30" s="22" customFormat="1" ht="62.25">
      <c r="A805" s="170"/>
      <c r="B805" s="109"/>
      <c r="C805" s="109"/>
      <c r="D805" s="167"/>
      <c r="E805" s="26" t="s">
        <v>848</v>
      </c>
      <c r="F805" s="97">
        <v>2607</v>
      </c>
      <c r="G805" s="25"/>
      <c r="H805" s="25"/>
      <c r="I805" s="37"/>
      <c r="J805" s="58">
        <v>3220</v>
      </c>
      <c r="K805" s="24">
        <v>1000000</v>
      </c>
      <c r="L805" s="35"/>
      <c r="M805" s="24"/>
      <c r="N805" s="24"/>
      <c r="O805" s="24">
        <f>700000+300000</f>
        <v>1000000</v>
      </c>
      <c r="P805" s="24"/>
      <c r="Q805" s="24"/>
      <c r="R805" s="24"/>
      <c r="S805" s="24"/>
      <c r="T805" s="24"/>
      <c r="U805" s="24"/>
      <c r="V805" s="24"/>
      <c r="W805" s="24"/>
      <c r="X805" s="24"/>
      <c r="Y805" s="118">
        <f t="shared" si="120"/>
        <v>0</v>
      </c>
      <c r="Z805" s="24">
        <v>1000000</v>
      </c>
      <c r="AA805" s="118">
        <f t="shared" si="131"/>
        <v>0</v>
      </c>
      <c r="AB805" s="118"/>
      <c r="AC805" s="24"/>
      <c r="AD805" s="118">
        <f t="shared" si="135"/>
        <v>0</v>
      </c>
    </row>
    <row r="806" spans="1:30" ht="17.25">
      <c r="A806" s="202" t="s">
        <v>17</v>
      </c>
      <c r="B806" s="202"/>
      <c r="C806" s="202"/>
      <c r="D806" s="202"/>
      <c r="E806" s="202"/>
      <c r="F806" s="142"/>
      <c r="G806" s="202"/>
      <c r="H806" s="202"/>
      <c r="I806" s="143"/>
      <c r="J806" s="143"/>
      <c r="K806" s="144">
        <f aca="true" t="shared" si="138" ref="K806:X806">K799+K795+K770+K763+K759+K671+K667+K390+K386+K365+K322+K24+K18</f>
        <v>547294268.33</v>
      </c>
      <c r="L806" s="144">
        <f t="shared" si="138"/>
        <v>44430.31318001964</v>
      </c>
      <c r="M806" s="144">
        <f t="shared" si="138"/>
        <v>0</v>
      </c>
      <c r="N806" s="144">
        <f t="shared" si="138"/>
        <v>30759393.659999996</v>
      </c>
      <c r="O806" s="144">
        <f t="shared" si="138"/>
        <v>49255107.6</v>
      </c>
      <c r="P806" s="144">
        <f t="shared" si="138"/>
        <v>63075783.22999999</v>
      </c>
      <c r="Q806" s="144">
        <f t="shared" si="138"/>
        <v>50543585</v>
      </c>
      <c r="R806" s="144">
        <f t="shared" si="138"/>
        <v>17259238.749999996</v>
      </c>
      <c r="S806" s="144">
        <f t="shared" si="138"/>
        <v>76655120.69</v>
      </c>
      <c r="T806" s="144">
        <f t="shared" si="138"/>
        <v>52327431.59</v>
      </c>
      <c r="U806" s="144">
        <f t="shared" si="138"/>
        <v>33127307.08</v>
      </c>
      <c r="V806" s="144">
        <f t="shared" si="138"/>
        <v>57722579.809999995</v>
      </c>
      <c r="W806" s="144">
        <f t="shared" si="138"/>
        <v>76366298.53</v>
      </c>
      <c r="X806" s="144">
        <f t="shared" si="138"/>
        <v>40202422.39</v>
      </c>
      <c r="Y806" s="118">
        <f t="shared" si="120"/>
        <v>0</v>
      </c>
      <c r="Z806" s="144">
        <f>Z799+Z795+Z770+Z763+Z759+Z671+Z667+Z390+Z386+Z365+Z322+Z24+Z18</f>
        <v>236147907.94</v>
      </c>
      <c r="AA806" s="118">
        <f t="shared" si="131"/>
        <v>51400320.98999995</v>
      </c>
      <c r="AB806" s="118"/>
      <c r="AC806" s="24"/>
      <c r="AD806" s="118">
        <f t="shared" si="135"/>
        <v>311146360.39000005</v>
      </c>
    </row>
    <row r="807" spans="1:30" ht="104.25" hidden="1">
      <c r="A807" s="145" t="s">
        <v>781</v>
      </c>
      <c r="B807" s="146"/>
      <c r="C807" s="147"/>
      <c r="D807" s="148" t="s">
        <v>782</v>
      </c>
      <c r="E807" s="148" t="s">
        <v>783</v>
      </c>
      <c r="F807" s="149"/>
      <c r="G807" s="25">
        <v>4112</v>
      </c>
      <c r="H807" s="150"/>
      <c r="I807" s="143"/>
      <c r="J807" s="143"/>
      <c r="K807" s="144">
        <v>64571578</v>
      </c>
      <c r="L807" s="151"/>
      <c r="M807" s="39"/>
      <c r="N807" s="39"/>
      <c r="O807" s="39">
        <v>18531257</v>
      </c>
      <c r="P807" s="39">
        <v>14000675</v>
      </c>
      <c r="Q807" s="39"/>
      <c r="R807" s="39"/>
      <c r="S807" s="39"/>
      <c r="T807" s="39"/>
      <c r="U807" s="39">
        <v>18215199</v>
      </c>
      <c r="V807" s="39">
        <v>13824447</v>
      </c>
      <c r="W807" s="39"/>
      <c r="X807" s="39"/>
      <c r="Y807" s="118">
        <f t="shared" si="120"/>
        <v>0</v>
      </c>
      <c r="Z807" s="24">
        <f>16856000-156800+3942000-33594.6</f>
        <v>20607605.4</v>
      </c>
      <c r="AA807" s="118">
        <f t="shared" si="131"/>
        <v>11924326.600000001</v>
      </c>
      <c r="AB807" s="118"/>
      <c r="AC807" s="24"/>
      <c r="AD807" s="118">
        <f t="shared" si="135"/>
        <v>43963972.6</v>
      </c>
    </row>
    <row r="808" spans="1:30" ht="17.25" hidden="1">
      <c r="A808" s="145"/>
      <c r="B808" s="146"/>
      <c r="C808" s="147"/>
      <c r="D808" s="148"/>
      <c r="E808" s="152" t="s">
        <v>784</v>
      </c>
      <c r="F808" s="149"/>
      <c r="G808" s="146"/>
      <c r="H808" s="150"/>
      <c r="I808" s="143"/>
      <c r="J808" s="143"/>
      <c r="K808" s="144">
        <f>K809</f>
        <v>1685572</v>
      </c>
      <c r="L808" s="144">
        <f aca="true" t="shared" si="139" ref="L808:Z808">L809</f>
        <v>0</v>
      </c>
      <c r="M808" s="144">
        <f t="shared" si="139"/>
        <v>0</v>
      </c>
      <c r="N808" s="144">
        <f t="shared" si="139"/>
        <v>0</v>
      </c>
      <c r="O808" s="144">
        <f t="shared" si="139"/>
        <v>561858</v>
      </c>
      <c r="P808" s="144">
        <f t="shared" si="139"/>
        <v>0</v>
      </c>
      <c r="Q808" s="144">
        <f t="shared" si="139"/>
        <v>0</v>
      </c>
      <c r="R808" s="144">
        <f t="shared" si="139"/>
        <v>561857</v>
      </c>
      <c r="S808" s="144">
        <f t="shared" si="139"/>
        <v>0</v>
      </c>
      <c r="T808" s="144">
        <f t="shared" si="139"/>
        <v>0</v>
      </c>
      <c r="U808" s="144">
        <f t="shared" si="139"/>
        <v>561857</v>
      </c>
      <c r="V808" s="144">
        <f t="shared" si="139"/>
        <v>0</v>
      </c>
      <c r="W808" s="144">
        <f t="shared" si="139"/>
        <v>0</v>
      </c>
      <c r="X808" s="144">
        <f t="shared" si="139"/>
        <v>0</v>
      </c>
      <c r="Y808" s="118">
        <f t="shared" si="120"/>
        <v>0</v>
      </c>
      <c r="Z808" s="144">
        <f t="shared" si="139"/>
        <v>1123714.29</v>
      </c>
      <c r="AA808" s="118">
        <f t="shared" si="131"/>
        <v>0.7099999999627471</v>
      </c>
      <c r="AB808" s="118"/>
      <c r="AC808" s="24"/>
      <c r="AD808" s="118">
        <f t="shared" si="135"/>
        <v>561857.71</v>
      </c>
    </row>
    <row r="809" spans="1:30" ht="18" hidden="1">
      <c r="A809" s="145"/>
      <c r="B809" s="146"/>
      <c r="C809" s="147"/>
      <c r="D809" s="148"/>
      <c r="E809" s="153" t="s">
        <v>785</v>
      </c>
      <c r="F809" s="154"/>
      <c r="G809" s="146"/>
      <c r="H809" s="150"/>
      <c r="I809" s="143"/>
      <c r="J809" s="143"/>
      <c r="K809" s="144">
        <v>1685572</v>
      </c>
      <c r="L809" s="151"/>
      <c r="M809" s="24"/>
      <c r="N809" s="24"/>
      <c r="O809" s="24">
        <v>561858</v>
      </c>
      <c r="P809" s="24"/>
      <c r="Q809" s="24"/>
      <c r="R809" s="24">
        <v>561857</v>
      </c>
      <c r="S809" s="24"/>
      <c r="T809" s="24"/>
      <c r="U809" s="24">
        <v>561857</v>
      </c>
      <c r="V809" s="24"/>
      <c r="W809" s="24"/>
      <c r="X809" s="24"/>
      <c r="Y809" s="118">
        <f t="shared" si="120"/>
        <v>0</v>
      </c>
      <c r="Z809" s="24">
        <f>561857.14+561857.15</f>
        <v>1123714.29</v>
      </c>
      <c r="AA809" s="118">
        <f t="shared" si="131"/>
        <v>0.7099999999627471</v>
      </c>
      <c r="AB809" s="118"/>
      <c r="AC809" s="24"/>
      <c r="AD809" s="118">
        <f t="shared" si="135"/>
        <v>561857.71</v>
      </c>
    </row>
    <row r="810" spans="1:30" ht="17.25" hidden="1">
      <c r="A810" s="202" t="s">
        <v>786</v>
      </c>
      <c r="B810" s="202"/>
      <c r="C810" s="202"/>
      <c r="D810" s="202"/>
      <c r="E810" s="202"/>
      <c r="F810" s="142"/>
      <c r="G810" s="146"/>
      <c r="H810" s="150"/>
      <c r="I810" s="143"/>
      <c r="J810" s="142"/>
      <c r="K810" s="144">
        <f>K806+K807+K808</f>
        <v>613551418.33</v>
      </c>
      <c r="L810" s="144">
        <f aca="true" t="shared" si="140" ref="L810:Z810">L806+L807+L808</f>
        <v>44430.31318001964</v>
      </c>
      <c r="M810" s="144">
        <f t="shared" si="140"/>
        <v>0</v>
      </c>
      <c r="N810" s="144">
        <f t="shared" si="140"/>
        <v>30759393.659999996</v>
      </c>
      <c r="O810" s="144">
        <f t="shared" si="140"/>
        <v>68348222.6</v>
      </c>
      <c r="P810" s="144">
        <f t="shared" si="140"/>
        <v>77076458.22999999</v>
      </c>
      <c r="Q810" s="144">
        <f t="shared" si="140"/>
        <v>50543585</v>
      </c>
      <c r="R810" s="144">
        <f t="shared" si="140"/>
        <v>17821095.749999996</v>
      </c>
      <c r="S810" s="144">
        <f t="shared" si="140"/>
        <v>76655120.69</v>
      </c>
      <c r="T810" s="144">
        <f t="shared" si="140"/>
        <v>52327431.59</v>
      </c>
      <c r="U810" s="144">
        <f t="shared" si="140"/>
        <v>51904363.08</v>
      </c>
      <c r="V810" s="144">
        <f t="shared" si="140"/>
        <v>71547026.81</v>
      </c>
      <c r="W810" s="144">
        <f t="shared" si="140"/>
        <v>76366298.53</v>
      </c>
      <c r="X810" s="144">
        <f t="shared" si="140"/>
        <v>40202422.39</v>
      </c>
      <c r="Y810" s="118">
        <f t="shared" si="120"/>
        <v>0</v>
      </c>
      <c r="Z810" s="144">
        <f t="shared" si="140"/>
        <v>257879227.63</v>
      </c>
      <c r="AA810" s="118">
        <f t="shared" si="131"/>
        <v>63324648.29999995</v>
      </c>
      <c r="AB810" s="118"/>
      <c r="AC810" s="24"/>
      <c r="AD810" s="118">
        <f t="shared" si="135"/>
        <v>355672190.70000005</v>
      </c>
    </row>
    <row r="811" spans="1:30" ht="18" hidden="1">
      <c r="A811" s="155"/>
      <c r="B811" s="155"/>
      <c r="C811" s="155"/>
      <c r="D811" s="155"/>
      <c r="E811" s="155"/>
      <c r="F811" s="156"/>
      <c r="G811" s="155"/>
      <c r="H811" s="155"/>
      <c r="I811" s="157"/>
      <c r="J811" s="157"/>
      <c r="K811" s="158"/>
      <c r="L811" s="159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160">
        <f>SUM(AB18:AB809)</f>
        <v>0</v>
      </c>
      <c r="AC811" s="161"/>
      <c r="AD811" s="22"/>
    </row>
    <row r="812" spans="1:12" ht="17.25" hidden="1">
      <c r="A812" s="69"/>
      <c r="B812" s="69"/>
      <c r="C812" s="69"/>
      <c r="D812" s="69"/>
      <c r="E812" s="69"/>
      <c r="F812" s="89"/>
      <c r="G812" s="69"/>
      <c r="H812" s="69"/>
      <c r="I812" s="70"/>
      <c r="J812" s="70"/>
      <c r="K812" s="71"/>
      <c r="L812" s="72"/>
    </row>
    <row r="813" spans="1:25" ht="17.25" hidden="1">
      <c r="A813" s="69"/>
      <c r="B813" s="69"/>
      <c r="C813" s="69"/>
      <c r="D813" s="69"/>
      <c r="E813" s="73" t="s">
        <v>765</v>
      </c>
      <c r="F813" s="90"/>
      <c r="G813" s="73"/>
      <c r="H813" s="73"/>
      <c r="I813" s="74"/>
      <c r="J813" s="74"/>
      <c r="K813" s="75">
        <v>483335124</v>
      </c>
      <c r="L813" s="76"/>
      <c r="M813" s="24">
        <v>2925942.6099999994</v>
      </c>
      <c r="N813" s="24">
        <v>13540635.81</v>
      </c>
      <c r="O813" s="24">
        <v>952000</v>
      </c>
      <c r="P813" s="24">
        <v>59469182.94</v>
      </c>
      <c r="Q813" s="24">
        <v>41300750.07</v>
      </c>
      <c r="R813" s="24">
        <v>2285860</v>
      </c>
      <c r="S813" s="24">
        <v>87896025.59</v>
      </c>
      <c r="T813" s="24">
        <v>74971972.1</v>
      </c>
      <c r="U813" s="24">
        <v>32545644.14</v>
      </c>
      <c r="V813" s="24">
        <v>78048632.31</v>
      </c>
      <c r="W813" s="24">
        <v>82336759.58</v>
      </c>
      <c r="X813" s="24">
        <v>7061718.85</v>
      </c>
      <c r="Y813" s="24">
        <f>K813-M813-N813-O813-P813-Q813-R813-S813-T813-U813-V813-W813-X813</f>
        <v>9.313225746154785E-09</v>
      </c>
    </row>
    <row r="814" spans="5:25" ht="17.25" hidden="1">
      <c r="E814" s="78" t="s">
        <v>767</v>
      </c>
      <c r="F814" s="78"/>
      <c r="G814" s="77"/>
      <c r="H814" s="77"/>
      <c r="I814" s="77"/>
      <c r="J814" s="77"/>
      <c r="K814" s="75">
        <v>19175000</v>
      </c>
      <c r="L814" s="66"/>
      <c r="M814" s="24"/>
      <c r="N814" s="24">
        <v>-625000</v>
      </c>
      <c r="O814" s="24"/>
      <c r="P814" s="24"/>
      <c r="Q814" s="24">
        <v>-200000</v>
      </c>
      <c r="R814" s="24"/>
      <c r="S814" s="24"/>
      <c r="T814" s="24"/>
      <c r="U814" s="24">
        <v>500000</v>
      </c>
      <c r="V814" s="24">
        <v>500000</v>
      </c>
      <c r="W814" s="24"/>
      <c r="X814" s="24">
        <v>19000000</v>
      </c>
      <c r="Y814" s="24">
        <f aca="true" t="shared" si="141" ref="Y814:Y819">K814-M814-N814-O814-P814-Q814-R814-S814-T814-U814-V814-W814-X814</f>
        <v>0</v>
      </c>
    </row>
    <row r="815" spans="1:29" s="68" customFormat="1" ht="17.25" hidden="1">
      <c r="A815" s="67"/>
      <c r="B815" s="201" t="s">
        <v>679</v>
      </c>
      <c r="C815" s="201"/>
      <c r="D815" s="201"/>
      <c r="E815" s="78" t="s">
        <v>768</v>
      </c>
      <c r="F815" s="78"/>
      <c r="G815" s="79"/>
      <c r="H815" s="79"/>
      <c r="I815" s="79"/>
      <c r="J815" s="79"/>
      <c r="K815" s="75">
        <v>30000000</v>
      </c>
      <c r="L815" s="80" t="s">
        <v>680</v>
      </c>
      <c r="M815" s="24">
        <v>1664850</v>
      </c>
      <c r="N815" s="24">
        <v>1664850</v>
      </c>
      <c r="O815" s="24">
        <v>1664850</v>
      </c>
      <c r="P815" s="24">
        <v>556160</v>
      </c>
      <c r="Q815" s="24">
        <v>1306160</v>
      </c>
      <c r="R815" s="24">
        <v>1798307</v>
      </c>
      <c r="S815" s="24">
        <v>3556160</v>
      </c>
      <c r="T815" s="24">
        <v>3306160</v>
      </c>
      <c r="U815" s="24">
        <v>3056160</v>
      </c>
      <c r="V815" s="24">
        <v>2456160</v>
      </c>
      <c r="W815" s="24">
        <v>2256160</v>
      </c>
      <c r="X815" s="24">
        <v>6714023</v>
      </c>
      <c r="Y815" s="24">
        <f t="shared" si="141"/>
        <v>0</v>
      </c>
      <c r="AC815" s="104"/>
    </row>
    <row r="816" ht="15" hidden="1">
      <c r="Y816" s="24"/>
    </row>
    <row r="817" spans="5:25" ht="17.25" hidden="1">
      <c r="E817" s="78" t="s">
        <v>769</v>
      </c>
      <c r="F817" s="87"/>
      <c r="K817" s="75">
        <f>83173+293822</f>
        <v>376995</v>
      </c>
      <c r="M817" s="24"/>
      <c r="N817" s="24"/>
      <c r="O817" s="24"/>
      <c r="P817" s="24"/>
      <c r="Q817" s="24">
        <f>83173+60280</f>
        <v>143453</v>
      </c>
      <c r="R817" s="24"/>
      <c r="S817" s="24"/>
      <c r="T817" s="24">
        <v>233542</v>
      </c>
      <c r="U817" s="24"/>
      <c r="V817" s="24"/>
      <c r="W817" s="24"/>
      <c r="X817" s="24"/>
      <c r="Y817" s="24">
        <f t="shared" si="141"/>
        <v>0</v>
      </c>
    </row>
    <row r="818" ht="12.75" hidden="1">
      <c r="Y818" s="81"/>
    </row>
    <row r="819" spans="5:25" ht="17.25" hidden="1">
      <c r="E819" s="73" t="s">
        <v>766</v>
      </c>
      <c r="F819" s="89"/>
      <c r="K819" s="75">
        <f>K806-K813-K814-K815-K817</f>
        <v>14407149.330000043</v>
      </c>
      <c r="L819" s="66" t="e">
        <f>L806-L813-L814-L815</f>
        <v>#VALUE!</v>
      </c>
      <c r="M819" s="24">
        <f aca="true" t="shared" si="142" ref="M819:X819">M806-M813-M814-M815-M817</f>
        <v>-4590792.609999999</v>
      </c>
      <c r="N819" s="24">
        <f t="shared" si="142"/>
        <v>16178907.849999994</v>
      </c>
      <c r="O819" s="24">
        <f t="shared" si="142"/>
        <v>46638257.6</v>
      </c>
      <c r="P819" s="24">
        <f t="shared" si="142"/>
        <v>3050440.2899999917</v>
      </c>
      <c r="Q819" s="24">
        <f t="shared" si="142"/>
        <v>7993221.93</v>
      </c>
      <c r="R819" s="24">
        <f t="shared" si="142"/>
        <v>13175071.749999996</v>
      </c>
      <c r="S819" s="24">
        <f t="shared" si="142"/>
        <v>-14797064.900000006</v>
      </c>
      <c r="T819" s="24">
        <f t="shared" si="142"/>
        <v>-26184242.50999999</v>
      </c>
      <c r="U819" s="24">
        <f t="shared" si="142"/>
        <v>-2974497.0600000024</v>
      </c>
      <c r="V819" s="24">
        <f t="shared" si="142"/>
        <v>-23282212.500000007</v>
      </c>
      <c r="W819" s="24">
        <f t="shared" si="142"/>
        <v>-8226621.049999997</v>
      </c>
      <c r="X819" s="24">
        <f t="shared" si="142"/>
        <v>7426680.539999999</v>
      </c>
      <c r="Y819" s="24">
        <f t="shared" si="141"/>
        <v>5.960464477539063E-08</v>
      </c>
    </row>
    <row r="820" ht="12.75" hidden="1"/>
    <row r="821" ht="12.75" hidden="1"/>
    <row r="822" ht="12.75" hidden="1"/>
    <row r="823" ht="12.75" hidden="1"/>
    <row r="824" spans="11:24" ht="18" hidden="1">
      <c r="K824" s="95">
        <f>K12+K13-K806-K807-K808</f>
        <v>-1.1920928955078125E-07</v>
      </c>
      <c r="L824" s="95">
        <f aca="true" t="shared" si="143" ref="L824:X824">L12-L806-L807-L808</f>
        <v>-44430.31318001964</v>
      </c>
      <c r="M824" s="95">
        <f t="shared" si="143"/>
        <v>2925942.6100000003</v>
      </c>
      <c r="N824" s="95">
        <f t="shared" si="143"/>
        <v>-2925942.6099999957</v>
      </c>
      <c r="O824" s="95">
        <f t="shared" si="143"/>
        <v>-511993.54999998957</v>
      </c>
      <c r="P824" s="95">
        <f t="shared" si="143"/>
        <v>0</v>
      </c>
      <c r="Q824" s="95">
        <f t="shared" si="143"/>
        <v>0</v>
      </c>
      <c r="R824" s="95">
        <f t="shared" si="143"/>
        <v>3.725290298461914E-09</v>
      </c>
      <c r="S824" s="95">
        <f t="shared" si="143"/>
        <v>-2.9802322387695312E-08</v>
      </c>
      <c r="T824" s="95">
        <f t="shared" si="143"/>
        <v>-1.4901161193847656E-08</v>
      </c>
      <c r="U824" s="95">
        <f t="shared" si="143"/>
        <v>7.450580596923828E-09</v>
      </c>
      <c r="V824" s="95">
        <f t="shared" si="143"/>
        <v>7.450580596923828E-09</v>
      </c>
      <c r="W824" s="95">
        <f t="shared" si="143"/>
        <v>0</v>
      </c>
      <c r="X824" s="95">
        <f t="shared" si="143"/>
        <v>0</v>
      </c>
    </row>
  </sheetData>
  <sheetProtection/>
  <mergeCells count="284">
    <mergeCell ref="A9:J9"/>
    <mergeCell ref="A10:J10"/>
    <mergeCell ref="A11:J11"/>
    <mergeCell ref="A3:J3"/>
    <mergeCell ref="A4:J4"/>
    <mergeCell ref="A5:J5"/>
    <mergeCell ref="A6:J6"/>
    <mergeCell ref="A7:J7"/>
    <mergeCell ref="A8:J8"/>
    <mergeCell ref="D804:D805"/>
    <mergeCell ref="A804:A805"/>
    <mergeCell ref="A320:A321"/>
    <mergeCell ref="B320:B321"/>
    <mergeCell ref="C320:C321"/>
    <mergeCell ref="D320:D321"/>
    <mergeCell ref="D371:D372"/>
    <mergeCell ref="A371:A372"/>
    <mergeCell ref="A782:A783"/>
    <mergeCell ref="B797:B798"/>
    <mergeCell ref="B784:B794"/>
    <mergeCell ref="C784:C794"/>
    <mergeCell ref="A12:I12"/>
    <mergeCell ref="A13:I13"/>
    <mergeCell ref="A774:A781"/>
    <mergeCell ref="B774:B781"/>
    <mergeCell ref="C774:C781"/>
    <mergeCell ref="D774:D781"/>
    <mergeCell ref="A784:A794"/>
    <mergeCell ref="D767:D769"/>
    <mergeCell ref="A810:E810"/>
    <mergeCell ref="D801:D803"/>
    <mergeCell ref="B782:B783"/>
    <mergeCell ref="D797:D798"/>
    <mergeCell ref="A1:X1"/>
    <mergeCell ref="A806:E806"/>
    <mergeCell ref="G806:H806"/>
    <mergeCell ref="A755:A756"/>
    <mergeCell ref="B755:B756"/>
    <mergeCell ref="C755:C756"/>
    <mergeCell ref="C797:C798"/>
    <mergeCell ref="D784:D794"/>
    <mergeCell ref="B772:B773"/>
    <mergeCell ref="B815:D815"/>
    <mergeCell ref="A772:A773"/>
    <mergeCell ref="C782:C783"/>
    <mergeCell ref="D782:D783"/>
    <mergeCell ref="A797:A798"/>
    <mergeCell ref="A801:A803"/>
    <mergeCell ref="B801:B803"/>
    <mergeCell ref="C801:C803"/>
    <mergeCell ref="C772:C773"/>
    <mergeCell ref="D772:D773"/>
    <mergeCell ref="A765:A766"/>
    <mergeCell ref="B765:B766"/>
    <mergeCell ref="C765:C766"/>
    <mergeCell ref="D765:D766"/>
    <mergeCell ref="A767:A769"/>
    <mergeCell ref="B767:B769"/>
    <mergeCell ref="C767:C769"/>
    <mergeCell ref="A753:A754"/>
    <mergeCell ref="B753:B754"/>
    <mergeCell ref="C753:C754"/>
    <mergeCell ref="D753:D754"/>
    <mergeCell ref="D755:D756"/>
    <mergeCell ref="A761:A762"/>
    <mergeCell ref="B761:B762"/>
    <mergeCell ref="C761:C762"/>
    <mergeCell ref="D761:D762"/>
    <mergeCell ref="A700:A706"/>
    <mergeCell ref="B700:B706"/>
    <mergeCell ref="C700:C706"/>
    <mergeCell ref="D700:D706"/>
    <mergeCell ref="A707:A752"/>
    <mergeCell ref="B707:B752"/>
    <mergeCell ref="C707:C752"/>
    <mergeCell ref="D707:D752"/>
    <mergeCell ref="A689:A697"/>
    <mergeCell ref="B689:B697"/>
    <mergeCell ref="C689:C697"/>
    <mergeCell ref="D689:D697"/>
    <mergeCell ref="A698:A699"/>
    <mergeCell ref="B698:B699"/>
    <mergeCell ref="C698:C699"/>
    <mergeCell ref="D698:D699"/>
    <mergeCell ref="A684:A686"/>
    <mergeCell ref="B684:B686"/>
    <mergeCell ref="C684:C686"/>
    <mergeCell ref="D684:D686"/>
    <mergeCell ref="A687:A688"/>
    <mergeCell ref="B687:B688"/>
    <mergeCell ref="C687:C688"/>
    <mergeCell ref="D687:D688"/>
    <mergeCell ref="A680:A681"/>
    <mergeCell ref="B680:B681"/>
    <mergeCell ref="C680:C681"/>
    <mergeCell ref="D680:D681"/>
    <mergeCell ref="A682:A683"/>
    <mergeCell ref="B682:B683"/>
    <mergeCell ref="C682:C683"/>
    <mergeCell ref="D682:D683"/>
    <mergeCell ref="A675:A676"/>
    <mergeCell ref="B675:B676"/>
    <mergeCell ref="C675:C676"/>
    <mergeCell ref="D675:D676"/>
    <mergeCell ref="A677:A679"/>
    <mergeCell ref="B677:B679"/>
    <mergeCell ref="C677:C679"/>
    <mergeCell ref="D677:D679"/>
    <mergeCell ref="A669:A670"/>
    <mergeCell ref="B669:B670"/>
    <mergeCell ref="C669:C670"/>
    <mergeCell ref="D669:D670"/>
    <mergeCell ref="A673:A674"/>
    <mergeCell ref="B673:B674"/>
    <mergeCell ref="C673:C674"/>
    <mergeCell ref="D673:D674"/>
    <mergeCell ref="A664:A666"/>
    <mergeCell ref="B664:B666"/>
    <mergeCell ref="C664:C666"/>
    <mergeCell ref="D664:D666"/>
    <mergeCell ref="A660:A661"/>
    <mergeCell ref="B660:B661"/>
    <mergeCell ref="C660:C661"/>
    <mergeCell ref="A662:A663"/>
    <mergeCell ref="D662:D663"/>
    <mergeCell ref="A479:A537"/>
    <mergeCell ref="B479:B537"/>
    <mergeCell ref="C479:C537"/>
    <mergeCell ref="D479:D537"/>
    <mergeCell ref="A477:A478"/>
    <mergeCell ref="D660:D661"/>
    <mergeCell ref="A538:A659"/>
    <mergeCell ref="B538:B659"/>
    <mergeCell ref="C538:C659"/>
    <mergeCell ref="D538:D659"/>
    <mergeCell ref="A475:A476"/>
    <mergeCell ref="C475:C476"/>
    <mergeCell ref="D475:D476"/>
    <mergeCell ref="B475:B476"/>
    <mergeCell ref="B477:B478"/>
    <mergeCell ref="C477:C478"/>
    <mergeCell ref="D477:D478"/>
    <mergeCell ref="A404:A410"/>
    <mergeCell ref="B404:B410"/>
    <mergeCell ref="C404:C410"/>
    <mergeCell ref="D404:D410"/>
    <mergeCell ref="A411:A412"/>
    <mergeCell ref="B411:B412"/>
    <mergeCell ref="C411:C412"/>
    <mergeCell ref="D411:D412"/>
    <mergeCell ref="A394:A401"/>
    <mergeCell ref="B394:B401"/>
    <mergeCell ref="C394:C401"/>
    <mergeCell ref="D394:D401"/>
    <mergeCell ref="A402:A403"/>
    <mergeCell ref="B402:B403"/>
    <mergeCell ref="C402:C403"/>
    <mergeCell ref="D402:D403"/>
    <mergeCell ref="A388:A389"/>
    <mergeCell ref="B388:B389"/>
    <mergeCell ref="C388:C389"/>
    <mergeCell ref="D388:D389"/>
    <mergeCell ref="A392:A393"/>
    <mergeCell ref="B392:B393"/>
    <mergeCell ref="C392:C393"/>
    <mergeCell ref="D392:D393"/>
    <mergeCell ref="A383:A385"/>
    <mergeCell ref="B383:B385"/>
    <mergeCell ref="C383:C385"/>
    <mergeCell ref="D383:D385"/>
    <mergeCell ref="M383:M385"/>
    <mergeCell ref="N383:N385"/>
    <mergeCell ref="A378:A379"/>
    <mergeCell ref="B378:B379"/>
    <mergeCell ref="C378:C379"/>
    <mergeCell ref="D378:D379"/>
    <mergeCell ref="A380:A382"/>
    <mergeCell ref="B380:B382"/>
    <mergeCell ref="C380:C382"/>
    <mergeCell ref="D380:D382"/>
    <mergeCell ref="A369:A370"/>
    <mergeCell ref="B369:B370"/>
    <mergeCell ref="C369:C370"/>
    <mergeCell ref="D369:D370"/>
    <mergeCell ref="A373:A377"/>
    <mergeCell ref="B373:B377"/>
    <mergeCell ref="C373:C377"/>
    <mergeCell ref="D373:D377"/>
    <mergeCell ref="D294:D319"/>
    <mergeCell ref="A367:A368"/>
    <mergeCell ref="B367:B368"/>
    <mergeCell ref="C367:C368"/>
    <mergeCell ref="D367:D368"/>
    <mergeCell ref="D365:E365"/>
    <mergeCell ref="D366:E366"/>
    <mergeCell ref="D324:D364"/>
    <mergeCell ref="A324:A364"/>
    <mergeCell ref="B271:B280"/>
    <mergeCell ref="B294:B318"/>
    <mergeCell ref="A294:A319"/>
    <mergeCell ref="C288:C293"/>
    <mergeCell ref="A281:A285"/>
    <mergeCell ref="B281:B285"/>
    <mergeCell ref="C281:C285"/>
    <mergeCell ref="C90:C91"/>
    <mergeCell ref="D90:D91"/>
    <mergeCell ref="A92:A119"/>
    <mergeCell ref="B92:B119"/>
    <mergeCell ref="C122:C270"/>
    <mergeCell ref="B122:B270"/>
    <mergeCell ref="A122:A270"/>
    <mergeCell ref="A88:A89"/>
    <mergeCell ref="B88:B89"/>
    <mergeCell ref="C88:C89"/>
    <mergeCell ref="D88:D89"/>
    <mergeCell ref="A120:A121"/>
    <mergeCell ref="B120:B121"/>
    <mergeCell ref="C120:C121"/>
    <mergeCell ref="D120:D121"/>
    <mergeCell ref="A90:A91"/>
    <mergeCell ref="B90:B91"/>
    <mergeCell ref="A84:A85"/>
    <mergeCell ref="B84:B85"/>
    <mergeCell ref="C84:C85"/>
    <mergeCell ref="D84:D85"/>
    <mergeCell ref="A86:A87"/>
    <mergeCell ref="B86:B87"/>
    <mergeCell ref="C86:C87"/>
    <mergeCell ref="D86:D87"/>
    <mergeCell ref="A79:A81"/>
    <mergeCell ref="B79:B81"/>
    <mergeCell ref="C79:C81"/>
    <mergeCell ref="D79:D81"/>
    <mergeCell ref="A82:A83"/>
    <mergeCell ref="B82:B83"/>
    <mergeCell ref="C82:C83"/>
    <mergeCell ref="D82:D83"/>
    <mergeCell ref="B70:B75"/>
    <mergeCell ref="C70:C75"/>
    <mergeCell ref="D70:D75"/>
    <mergeCell ref="A76:A78"/>
    <mergeCell ref="B76:B78"/>
    <mergeCell ref="C76:C78"/>
    <mergeCell ref="D76:D78"/>
    <mergeCell ref="D288:D293"/>
    <mergeCell ref="C294:C318"/>
    <mergeCell ref="B324:B360"/>
    <mergeCell ref="C324:C360"/>
    <mergeCell ref="C39:C64"/>
    <mergeCell ref="D39:D64"/>
    <mergeCell ref="C92:C119"/>
    <mergeCell ref="D92:D119"/>
    <mergeCell ref="D271:D280"/>
    <mergeCell ref="C271:C280"/>
    <mergeCell ref="D413:D474"/>
    <mergeCell ref="C413:C474"/>
    <mergeCell ref="A286:A287"/>
    <mergeCell ref="B286:B287"/>
    <mergeCell ref="C286:C287"/>
    <mergeCell ref="D286:D287"/>
    <mergeCell ref="B413:B474"/>
    <mergeCell ref="A413:A474"/>
    <mergeCell ref="A288:A293"/>
    <mergeCell ref="B288:B293"/>
    <mergeCell ref="D281:D285"/>
    <mergeCell ref="A26:A38"/>
    <mergeCell ref="B26:B38"/>
    <mergeCell ref="C26:C38"/>
    <mergeCell ref="D26:D38"/>
    <mergeCell ref="A65:A69"/>
    <mergeCell ref="B65:B69"/>
    <mergeCell ref="C65:C69"/>
    <mergeCell ref="D65:D69"/>
    <mergeCell ref="A70:A75"/>
    <mergeCell ref="A14:I14"/>
    <mergeCell ref="A15:I15"/>
    <mergeCell ref="D122:D270"/>
    <mergeCell ref="A271:A280"/>
    <mergeCell ref="A20:A23"/>
    <mergeCell ref="B20:B23"/>
    <mergeCell ref="C20:C23"/>
    <mergeCell ref="D20:D23"/>
    <mergeCell ref="A39:A64"/>
    <mergeCell ref="B39:B64"/>
  </mergeCells>
  <printOptions/>
  <pageMargins left="0.35433070866141736" right="0.2755905511811024" top="0.31496062992125984" bottom="0.2755905511811024" header="0.15748031496062992" footer="0.5118110236220472"/>
  <pageSetup fitToHeight="25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2020-07-30T12:27:08Z</cp:lastPrinted>
  <dcterms:created xsi:type="dcterms:W3CDTF">2017-12-26T08:57:14Z</dcterms:created>
  <dcterms:modified xsi:type="dcterms:W3CDTF">2020-07-31T11:19:20Z</dcterms:modified>
  <cp:category/>
  <cp:version/>
  <cp:contentType/>
  <cp:contentStatus/>
</cp:coreProperties>
</file>